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05" yWindow="540" windowWidth="19680" windowHeight="11895"/>
  </bookViews>
  <sheets>
    <sheet name="101 - Crook County" sheetId="34" r:id="rId1"/>
    <sheet name="602 - Alfalfa Fire Dist" sheetId="32" r:id="rId2"/>
    <sheet name="610 - AG Extension Service" sheetId="31" r:id="rId3"/>
    <sheet name="616 - CC Historical Fund" sheetId="28" r:id="rId4"/>
    <sheet name="622 - High Desert ESD" sheetId="27" r:id="rId5"/>
    <sheet name="630 - Deschutes County #1 RFPD1" sheetId="26" r:id="rId6"/>
    <sheet name="631 - CCFR Taxing Zone 1" sheetId="25" r:id="rId7"/>
    <sheet name="635 - Hahlen Road District" sheetId="24" r:id="rId8"/>
    <sheet name="664 - CC PARKS &amp; REC DIST" sheetId="6" r:id="rId9"/>
    <sheet name="665 - Crook City Cemetary" sheetId="104" r:id="rId10"/>
    <sheet name="666 - Vector Control" sheetId="22" r:id="rId11"/>
    <sheet name="668 - JUN CAN Water Dist" sheetId="21" r:id="rId12"/>
    <sheet name="679 - PLA Unit I Road Dist" sheetId="20" r:id="rId13"/>
    <sheet name="680 - Crook Cty School Dist" sheetId="19" r:id="rId14"/>
    <sheet name="681SCH2013 - CC School Bond" sheetId="4" r:id="rId15"/>
    <sheet name="690 - COCC" sheetId="18" r:id="rId16"/>
    <sheet name="691 - COCC Bond" sheetId="17" r:id="rId17"/>
    <sheet name="692 - City of Prineville" sheetId="106" r:id="rId18"/>
    <sheet name="Ochoco West Water &amp; Sanitary" sheetId="107" r:id="rId19"/>
    <sheet name="502 - Crook County Jail Bond" sheetId="108" r:id="rId20"/>
    <sheet name="Sum 4a - ALL" sheetId="88" r:id="rId21"/>
    <sheet name="Balancing Summary" sheetId="92" r:id="rId22"/>
    <sheet name="Raw Data" sheetId="3" r:id="rId23"/>
    <sheet name="ESRI_MAPINFO_SHEET" sheetId="109" state="veryHidden" r:id="rId24"/>
  </sheets>
  <definedNames>
    <definedName name="_xlnm.Print_Titles" localSheetId="22">'Raw Data'!$A:$A,'Raw Data'!$1:$1</definedName>
  </definedNames>
  <calcPr calcId="145621"/>
</workbook>
</file>

<file path=xl/calcChain.xml><?xml version="1.0" encoding="utf-8"?>
<calcChain xmlns="http://schemas.openxmlformats.org/spreadsheetml/2006/main">
  <c r="H48" i="20" l="1"/>
  <c r="G14" i="92" l="1"/>
  <c r="H61" i="88" l="1"/>
  <c r="G61" i="88"/>
  <c r="A46" i="108" l="1"/>
  <c r="A47" i="108" s="1"/>
  <c r="A48" i="108" s="1"/>
  <c r="A51" i="108" s="1"/>
  <c r="A52" i="108" s="1"/>
  <c r="A53" i="108" s="1"/>
  <c r="A54" i="108" s="1"/>
  <c r="A55" i="108" s="1"/>
  <c r="A56" i="108" s="1"/>
  <c r="A57" i="108" s="1"/>
  <c r="A58" i="108" s="1"/>
  <c r="A59" i="108" s="1"/>
  <c r="A60" i="108" s="1"/>
  <c r="A62" i="108" s="1"/>
  <c r="A63" i="108" s="1"/>
  <c r="A16" i="108"/>
  <c r="A17" i="108" s="1"/>
  <c r="A18" i="108" s="1"/>
  <c r="A19" i="108" s="1"/>
  <c r="A20" i="108" s="1"/>
  <c r="A21" i="108" s="1"/>
  <c r="A24" i="108" s="1"/>
  <c r="A25" i="108" s="1"/>
  <c r="A28" i="108" s="1"/>
  <c r="A29" i="108" s="1"/>
  <c r="A30" i="108" s="1"/>
  <c r="A31" i="108" s="1"/>
  <c r="A32" i="108" s="1"/>
  <c r="A35" i="108" s="1"/>
  <c r="A36" i="108" s="1"/>
  <c r="A37" i="108" s="1"/>
  <c r="A38" i="108" s="1"/>
  <c r="A39" i="108" s="1"/>
  <c r="A40" i="108" s="1"/>
  <c r="A41" i="108" s="1"/>
  <c r="A2" i="108"/>
  <c r="A21" i="3" l="1"/>
  <c r="A2" i="3" l="1"/>
  <c r="A3" i="3"/>
  <c r="A4" i="3"/>
  <c r="A5" i="3"/>
  <c r="A6" i="3"/>
  <c r="A7" i="3"/>
  <c r="A8" i="3"/>
  <c r="A9" i="3"/>
  <c r="A10" i="3"/>
  <c r="A11" i="3"/>
  <c r="A12" i="3"/>
  <c r="A13" i="3"/>
  <c r="A14" i="3"/>
  <c r="A15" i="3"/>
  <c r="A16" i="3"/>
  <c r="A17" i="3"/>
  <c r="A18" i="3"/>
  <c r="A19" i="3"/>
  <c r="A20" i="3"/>
  <c r="G20" i="4" l="1"/>
  <c r="G20" i="17"/>
  <c r="G45" i="108"/>
  <c r="F24" i="108"/>
  <c r="E17" i="108"/>
  <c r="G58" i="108"/>
  <c r="H58" i="108" s="1"/>
  <c r="H28" i="108"/>
  <c r="G24" i="108"/>
  <c r="D43" i="108"/>
  <c r="F45" i="108"/>
  <c r="F42" i="108"/>
  <c r="E42" i="108"/>
  <c r="H63" i="108"/>
  <c r="E45" i="108"/>
  <c r="D16" i="108"/>
  <c r="G59" i="108"/>
  <c r="H59" i="108" s="1"/>
  <c r="G42" i="108"/>
  <c r="C6" i="108"/>
  <c r="G53" i="108"/>
  <c r="H53" i="108" s="1"/>
  <c r="G52" i="108"/>
  <c r="H52" i="108" s="1"/>
  <c r="C8" i="108"/>
  <c r="C7" i="108"/>
  <c r="F18" i="108"/>
  <c r="H30" i="108"/>
  <c r="E47" i="108"/>
  <c r="E24" i="108"/>
  <c r="H29" i="108"/>
  <c r="E43" i="108"/>
  <c r="G55" i="108"/>
  <c r="H55" i="108" s="1"/>
  <c r="D42" i="108"/>
  <c r="D47" i="108"/>
  <c r="G13" i="108"/>
  <c r="D45" i="108"/>
  <c r="G54" i="108"/>
  <c r="H54" i="108" s="1"/>
  <c r="D24" i="108"/>
  <c r="G51" i="108"/>
  <c r="E13" i="108"/>
  <c r="D38" i="108"/>
  <c r="H38" i="108" s="1"/>
  <c r="G57" i="108"/>
  <c r="H57" i="108" s="1"/>
  <c r="G20" i="108"/>
  <c r="G43" i="108"/>
  <c r="H31" i="108"/>
  <c r="F47" i="108"/>
  <c r="F19" i="108"/>
  <c r="H19" i="108" s="1"/>
  <c r="F43" i="108"/>
  <c r="G56" i="108"/>
  <c r="H56" i="108" s="1"/>
  <c r="G55" i="107"/>
  <c r="H55" i="107" s="1"/>
  <c r="G55" i="106"/>
  <c r="H55" i="106" s="1"/>
  <c r="G55" i="17"/>
  <c r="H55" i="17" s="1"/>
  <c r="G55" i="18"/>
  <c r="H55" i="18" s="1"/>
  <c r="G55" i="4"/>
  <c r="H55" i="4" s="1"/>
  <c r="G55" i="19"/>
  <c r="H55" i="19" s="1"/>
  <c r="G55" i="20"/>
  <c r="H55" i="20" s="1"/>
  <c r="G55" i="21"/>
  <c r="H55" i="21" s="1"/>
  <c r="G55" i="22"/>
  <c r="H55" i="22" s="1"/>
  <c r="G55" i="104"/>
  <c r="H55" i="104" s="1"/>
  <c r="G55" i="6"/>
  <c r="H55" i="6" s="1"/>
  <c r="G55" i="24"/>
  <c r="H55" i="24" s="1"/>
  <c r="G55" i="25"/>
  <c r="H55" i="25" s="1"/>
  <c r="G55" i="26"/>
  <c r="H55" i="26" s="1"/>
  <c r="G55" i="27"/>
  <c r="H55" i="27" s="1"/>
  <c r="G55" i="28"/>
  <c r="H55" i="28" s="1"/>
  <c r="G55" i="31"/>
  <c r="H55" i="31" s="1"/>
  <c r="G55" i="32"/>
  <c r="H55" i="32" s="1"/>
  <c r="G55" i="34"/>
  <c r="G55" i="88" l="1"/>
  <c r="H43" i="108"/>
  <c r="G21" i="108"/>
  <c r="G25" i="108" s="1"/>
  <c r="H20" i="108"/>
  <c r="D21" i="108"/>
  <c r="H16" i="108"/>
  <c r="H32" i="108"/>
  <c r="H42" i="108"/>
  <c r="E21" i="108"/>
  <c r="E25" i="108" s="1"/>
  <c r="E37" i="108" s="1"/>
  <c r="H17" i="108"/>
  <c r="H55" i="34"/>
  <c r="H47" i="108"/>
  <c r="H51" i="108"/>
  <c r="H60" i="108" s="1"/>
  <c r="G60" i="108"/>
  <c r="H45" i="108"/>
  <c r="H18" i="108"/>
  <c r="F21" i="108"/>
  <c r="F25" i="108" s="1"/>
  <c r="F37" i="108" s="1"/>
  <c r="H24" i="108"/>
  <c r="H55" i="88" l="1"/>
  <c r="C9" i="92" s="1"/>
  <c r="D39" i="108"/>
  <c r="H39" i="108" s="1"/>
  <c r="D25" i="108"/>
  <c r="H21" i="108"/>
  <c r="H25" i="108" s="1"/>
  <c r="G35" i="108"/>
  <c r="G40" i="108" s="1"/>
  <c r="G41" i="108" s="1"/>
  <c r="G44" i="108" s="1"/>
  <c r="G46" i="108" s="1"/>
  <c r="G48" i="108" s="1"/>
  <c r="G62" i="108" s="1"/>
  <c r="J7" i="92"/>
  <c r="A46" i="107"/>
  <c r="A47" i="107" s="1"/>
  <c r="A48" i="107" s="1"/>
  <c r="A51" i="107" s="1"/>
  <c r="A52" i="107" s="1"/>
  <c r="A53" i="107" s="1"/>
  <c r="A54" i="107" s="1"/>
  <c r="A55" i="107" s="1"/>
  <c r="A56" i="107" s="1"/>
  <c r="A57" i="107" s="1"/>
  <c r="A58" i="107" s="1"/>
  <c r="A59" i="107" s="1"/>
  <c r="A60" i="107" s="1"/>
  <c r="A62" i="107" s="1"/>
  <c r="A63" i="107" s="1"/>
  <c r="A16" i="107"/>
  <c r="A17" i="107" s="1"/>
  <c r="A18" i="107" s="1"/>
  <c r="A19" i="107" s="1"/>
  <c r="A20" i="107" s="1"/>
  <c r="A21" i="107" s="1"/>
  <c r="A24" i="107" s="1"/>
  <c r="A25" i="107" s="1"/>
  <c r="A28" i="107" s="1"/>
  <c r="A29" i="107" s="1"/>
  <c r="A30" i="107" s="1"/>
  <c r="A31" i="107" s="1"/>
  <c r="A32" i="107" s="1"/>
  <c r="A35" i="107" s="1"/>
  <c r="A36" i="107" s="1"/>
  <c r="A37" i="107" s="1"/>
  <c r="A38" i="107" s="1"/>
  <c r="A39" i="107" s="1"/>
  <c r="A40" i="107" s="1"/>
  <c r="A41" i="107" s="1"/>
  <c r="A2" i="107"/>
  <c r="A46" i="106"/>
  <c r="A47" i="106" s="1"/>
  <c r="A48" i="106" s="1"/>
  <c r="A51" i="106" s="1"/>
  <c r="A52" i="106" s="1"/>
  <c r="A53" i="106" s="1"/>
  <c r="A54" i="106" s="1"/>
  <c r="A55" i="106" s="1"/>
  <c r="A56" i="106" s="1"/>
  <c r="A57" i="106" s="1"/>
  <c r="A58" i="106" s="1"/>
  <c r="A59" i="106" s="1"/>
  <c r="A60" i="106" s="1"/>
  <c r="A62" i="106" s="1"/>
  <c r="A63" i="106" s="1"/>
  <c r="A16" i="106"/>
  <c r="A17" i="106" s="1"/>
  <c r="A18" i="106" s="1"/>
  <c r="A19" i="106" s="1"/>
  <c r="A20" i="106" s="1"/>
  <c r="A21" i="106" s="1"/>
  <c r="A24" i="106" s="1"/>
  <c r="A25" i="106" s="1"/>
  <c r="A28" i="106" s="1"/>
  <c r="A29" i="106" s="1"/>
  <c r="A30" i="106" s="1"/>
  <c r="A31" i="106" s="1"/>
  <c r="A32" i="106" s="1"/>
  <c r="A35" i="106" s="1"/>
  <c r="A36" i="106" s="1"/>
  <c r="A37" i="106" s="1"/>
  <c r="A38" i="106" s="1"/>
  <c r="A39" i="106" s="1"/>
  <c r="A40" i="106" s="1"/>
  <c r="A41" i="106" s="1"/>
  <c r="A2" i="106"/>
  <c r="A2" i="17"/>
  <c r="A2" i="18"/>
  <c r="A2" i="19"/>
  <c r="A2" i="20"/>
  <c r="A2" i="21"/>
  <c r="A2" i="22"/>
  <c r="A2" i="104"/>
  <c r="A2" i="6"/>
  <c r="A2" i="24"/>
  <c r="A2" i="25"/>
  <c r="A2" i="26"/>
  <c r="A2" i="27"/>
  <c r="A2" i="28"/>
  <c r="A2" i="31"/>
  <c r="A2" i="32"/>
  <c r="A2" i="4"/>
  <c r="A46" i="104"/>
  <c r="A47" i="104" s="1"/>
  <c r="A48" i="104" s="1"/>
  <c r="A51" i="104" s="1"/>
  <c r="A52" i="104" s="1"/>
  <c r="A53" i="104" s="1"/>
  <c r="A54" i="104" s="1"/>
  <c r="A55" i="104" s="1"/>
  <c r="A56" i="104" s="1"/>
  <c r="A57" i="104" s="1"/>
  <c r="A58" i="104" s="1"/>
  <c r="A59" i="104" s="1"/>
  <c r="A60" i="104" s="1"/>
  <c r="A62" i="104" s="1"/>
  <c r="A63" i="104" s="1"/>
  <c r="A16" i="104"/>
  <c r="A17" i="104" s="1"/>
  <c r="A18" i="104" s="1"/>
  <c r="A19" i="104" s="1"/>
  <c r="A20" i="104" s="1"/>
  <c r="A21" i="104" s="1"/>
  <c r="A24" i="104" s="1"/>
  <c r="A25" i="104" s="1"/>
  <c r="A28" i="104" s="1"/>
  <c r="A29" i="104" s="1"/>
  <c r="A30" i="104" s="1"/>
  <c r="A31" i="104" s="1"/>
  <c r="A32" i="104" s="1"/>
  <c r="A35" i="104" s="1"/>
  <c r="A36" i="104" s="1"/>
  <c r="A37" i="104" s="1"/>
  <c r="A38" i="104" s="1"/>
  <c r="A39" i="104" s="1"/>
  <c r="A40" i="104" s="1"/>
  <c r="A41" i="104" s="1"/>
  <c r="G25" i="92"/>
  <c r="C30" i="92" s="1"/>
  <c r="J19" i="92"/>
  <c r="K26" i="92"/>
  <c r="G30" i="92" s="1"/>
  <c r="A46" i="21"/>
  <c r="A47" i="21" s="1"/>
  <c r="A48" i="21" s="1"/>
  <c r="A51" i="21" s="1"/>
  <c r="A52" i="21" s="1"/>
  <c r="A53" i="21" s="1"/>
  <c r="A54" i="21" s="1"/>
  <c r="A55" i="21" s="1"/>
  <c r="A56" i="21" s="1"/>
  <c r="A57" i="21" s="1"/>
  <c r="A58" i="21" s="1"/>
  <c r="A59" i="21" s="1"/>
  <c r="A60" i="21" s="1"/>
  <c r="A62" i="21" s="1"/>
  <c r="A63" i="21" s="1"/>
  <c r="A16" i="21"/>
  <c r="A17" i="21" s="1"/>
  <c r="A18" i="21" s="1"/>
  <c r="A19" i="21" s="1"/>
  <c r="A20" i="21" s="1"/>
  <c r="A21" i="21" s="1"/>
  <c r="A24" i="21" s="1"/>
  <c r="A25" i="21" s="1"/>
  <c r="A28" i="21" s="1"/>
  <c r="A29" i="21" s="1"/>
  <c r="A30" i="21" s="1"/>
  <c r="A31" i="21" s="1"/>
  <c r="A32" i="21" s="1"/>
  <c r="A35" i="21" s="1"/>
  <c r="A36" i="21" s="1"/>
  <c r="A37" i="21" s="1"/>
  <c r="A38" i="21" s="1"/>
  <c r="A39" i="21" s="1"/>
  <c r="A40" i="21" s="1"/>
  <c r="A41" i="21" s="1"/>
  <c r="A46" i="4"/>
  <c r="A47" i="4" s="1"/>
  <c r="A48" i="4" s="1"/>
  <c r="A51" i="4" s="1"/>
  <c r="A52" i="4" s="1"/>
  <c r="A53" i="4" s="1"/>
  <c r="A54" i="4" s="1"/>
  <c r="A55" i="4" s="1"/>
  <c r="A56" i="4" s="1"/>
  <c r="A57" i="4" s="1"/>
  <c r="A58" i="4" s="1"/>
  <c r="A59" i="4" s="1"/>
  <c r="A60" i="4" s="1"/>
  <c r="A62" i="4" s="1"/>
  <c r="A63" i="4" s="1"/>
  <c r="A16" i="4"/>
  <c r="A17" i="4" s="1"/>
  <c r="A18" i="4" s="1"/>
  <c r="A19" i="4" s="1"/>
  <c r="A20" i="4" s="1"/>
  <c r="A21" i="4" s="1"/>
  <c r="A24" i="4" s="1"/>
  <c r="A25" i="4" s="1"/>
  <c r="A28" i="4" s="1"/>
  <c r="A29" i="4" s="1"/>
  <c r="A30" i="4" s="1"/>
  <c r="A31" i="4" s="1"/>
  <c r="A32" i="4" s="1"/>
  <c r="A35" i="4" s="1"/>
  <c r="A36" i="4" s="1"/>
  <c r="A37" i="4" s="1"/>
  <c r="A38" i="4" s="1"/>
  <c r="A39" i="4" s="1"/>
  <c r="A40" i="4" s="1"/>
  <c r="A41" i="4" s="1"/>
  <c r="A46" i="32"/>
  <c r="A47" i="32" s="1"/>
  <c r="A48" i="32" s="1"/>
  <c r="A51" i="32" s="1"/>
  <c r="A52" i="32" s="1"/>
  <c r="A53" i="32" s="1"/>
  <c r="A54" i="32" s="1"/>
  <c r="A55" i="32" s="1"/>
  <c r="A56" i="32" s="1"/>
  <c r="A57" i="32" s="1"/>
  <c r="A58" i="32" s="1"/>
  <c r="A59" i="32" s="1"/>
  <c r="A60" i="32" s="1"/>
  <c r="A62" i="32" s="1"/>
  <c r="A63" i="32" s="1"/>
  <c r="A16" i="32"/>
  <c r="A17" i="32" s="1"/>
  <c r="A18" i="32" s="1"/>
  <c r="A19" i="32" s="1"/>
  <c r="A20" i="32" s="1"/>
  <c r="A21" i="32" s="1"/>
  <c r="A24" i="32" s="1"/>
  <c r="A25" i="32" s="1"/>
  <c r="A28" i="32" s="1"/>
  <c r="A29" i="32" s="1"/>
  <c r="A30" i="32" s="1"/>
  <c r="A31" i="32" s="1"/>
  <c r="A32" i="32" s="1"/>
  <c r="A35" i="32" s="1"/>
  <c r="A36" i="32" s="1"/>
  <c r="A37" i="32" s="1"/>
  <c r="A38" i="32" s="1"/>
  <c r="A39" i="32" s="1"/>
  <c r="A40" i="32" s="1"/>
  <c r="A41" i="32" s="1"/>
  <c r="A46" i="31"/>
  <c r="A47" i="31" s="1"/>
  <c r="A48" i="31" s="1"/>
  <c r="A51" i="31" s="1"/>
  <c r="A52" i="31" s="1"/>
  <c r="A53" i="31" s="1"/>
  <c r="A54" i="31" s="1"/>
  <c r="A55" i="31" s="1"/>
  <c r="A56" i="31" s="1"/>
  <c r="A57" i="31" s="1"/>
  <c r="A58" i="31" s="1"/>
  <c r="A59" i="31" s="1"/>
  <c r="A60" i="31" s="1"/>
  <c r="A62" i="31" s="1"/>
  <c r="A63" i="31" s="1"/>
  <c r="A16" i="31"/>
  <c r="A17" i="31" s="1"/>
  <c r="A18" i="31" s="1"/>
  <c r="A19" i="31" s="1"/>
  <c r="A20" i="31" s="1"/>
  <c r="A21" i="31" s="1"/>
  <c r="A24" i="31" s="1"/>
  <c r="A25" i="31" s="1"/>
  <c r="A28" i="31" s="1"/>
  <c r="A29" i="31" s="1"/>
  <c r="A30" i="31" s="1"/>
  <c r="A31" i="31" s="1"/>
  <c r="A32" i="31" s="1"/>
  <c r="A35" i="31" s="1"/>
  <c r="A36" i="31" s="1"/>
  <c r="A37" i="31" s="1"/>
  <c r="A38" i="31" s="1"/>
  <c r="A39" i="31" s="1"/>
  <c r="A40" i="31" s="1"/>
  <c r="A41" i="31" s="1"/>
  <c r="A46" i="28"/>
  <c r="A47" i="28" s="1"/>
  <c r="A48" i="28" s="1"/>
  <c r="A51" i="28" s="1"/>
  <c r="A52" i="28" s="1"/>
  <c r="A53" i="28" s="1"/>
  <c r="A54" i="28" s="1"/>
  <c r="A55" i="28" s="1"/>
  <c r="A56" i="28" s="1"/>
  <c r="A57" i="28" s="1"/>
  <c r="A58" i="28" s="1"/>
  <c r="A59" i="28" s="1"/>
  <c r="A60" i="28" s="1"/>
  <c r="A62" i="28" s="1"/>
  <c r="A63" i="28" s="1"/>
  <c r="A16" i="28"/>
  <c r="A17" i="28" s="1"/>
  <c r="A18" i="28" s="1"/>
  <c r="A19" i="28" s="1"/>
  <c r="A20" i="28" s="1"/>
  <c r="A21" i="28" s="1"/>
  <c r="A24" i="28" s="1"/>
  <c r="A25" i="28" s="1"/>
  <c r="A28" i="28" s="1"/>
  <c r="A29" i="28" s="1"/>
  <c r="A30" i="28" s="1"/>
  <c r="A31" i="28" s="1"/>
  <c r="A32" i="28" s="1"/>
  <c r="A35" i="28" s="1"/>
  <c r="A36" i="28" s="1"/>
  <c r="A37" i="28" s="1"/>
  <c r="A38" i="28" s="1"/>
  <c r="A39" i="28" s="1"/>
  <c r="A40" i="28" s="1"/>
  <c r="A41" i="28" s="1"/>
  <c r="A46" i="27"/>
  <c r="A47" i="27" s="1"/>
  <c r="A48" i="27" s="1"/>
  <c r="A51" i="27" s="1"/>
  <c r="A52" i="27" s="1"/>
  <c r="A53" i="27" s="1"/>
  <c r="A54" i="27" s="1"/>
  <c r="A55" i="27" s="1"/>
  <c r="A56" i="27" s="1"/>
  <c r="A57" i="27" s="1"/>
  <c r="A58" i="27" s="1"/>
  <c r="A59" i="27" s="1"/>
  <c r="A60" i="27" s="1"/>
  <c r="A62" i="27" s="1"/>
  <c r="A63" i="27" s="1"/>
  <c r="A16" i="27"/>
  <c r="A17" i="27" s="1"/>
  <c r="A18" i="27" s="1"/>
  <c r="A19" i="27" s="1"/>
  <c r="A20" i="27" s="1"/>
  <c r="A21" i="27" s="1"/>
  <c r="A24" i="27" s="1"/>
  <c r="A25" i="27" s="1"/>
  <c r="A28" i="27" s="1"/>
  <c r="A29" i="27" s="1"/>
  <c r="A30" i="27" s="1"/>
  <c r="A31" i="27" s="1"/>
  <c r="A32" i="27" s="1"/>
  <c r="A35" i="27" s="1"/>
  <c r="A36" i="27" s="1"/>
  <c r="A37" i="27" s="1"/>
  <c r="A38" i="27" s="1"/>
  <c r="A39" i="27" s="1"/>
  <c r="A40" i="27" s="1"/>
  <c r="A41" i="27" s="1"/>
  <c r="A46" i="26"/>
  <c r="A47" i="26" s="1"/>
  <c r="A48" i="26" s="1"/>
  <c r="A51" i="26" s="1"/>
  <c r="A52" i="26" s="1"/>
  <c r="A53" i="26" s="1"/>
  <c r="A54" i="26" s="1"/>
  <c r="A55" i="26" s="1"/>
  <c r="A56" i="26" s="1"/>
  <c r="A57" i="26" s="1"/>
  <c r="A58" i="26" s="1"/>
  <c r="A59" i="26" s="1"/>
  <c r="A60" i="26" s="1"/>
  <c r="A62" i="26" s="1"/>
  <c r="A63" i="26" s="1"/>
  <c r="A16" i="26"/>
  <c r="A17" i="26" s="1"/>
  <c r="A18" i="26" s="1"/>
  <c r="A19" i="26" s="1"/>
  <c r="A20" i="26" s="1"/>
  <c r="A21" i="26" s="1"/>
  <c r="A24" i="26" s="1"/>
  <c r="A25" i="26" s="1"/>
  <c r="A28" i="26" s="1"/>
  <c r="A29" i="26" s="1"/>
  <c r="A30" i="26" s="1"/>
  <c r="A31" i="26" s="1"/>
  <c r="A32" i="26" s="1"/>
  <c r="A35" i="26" s="1"/>
  <c r="A36" i="26" s="1"/>
  <c r="A37" i="26" s="1"/>
  <c r="A38" i="26" s="1"/>
  <c r="A39" i="26" s="1"/>
  <c r="A40" i="26" s="1"/>
  <c r="A41" i="26" s="1"/>
  <c r="A46" i="25"/>
  <c r="A47" i="25" s="1"/>
  <c r="A48" i="25" s="1"/>
  <c r="A51" i="25" s="1"/>
  <c r="A52" i="25" s="1"/>
  <c r="A53" i="25" s="1"/>
  <c r="A54" i="25" s="1"/>
  <c r="A55" i="25" s="1"/>
  <c r="A56" i="25" s="1"/>
  <c r="A57" i="25" s="1"/>
  <c r="A58" i="25" s="1"/>
  <c r="A59" i="25" s="1"/>
  <c r="A60" i="25" s="1"/>
  <c r="A62" i="25" s="1"/>
  <c r="A63" i="25" s="1"/>
  <c r="A16" i="25"/>
  <c r="A17" i="25" s="1"/>
  <c r="A18" i="25" s="1"/>
  <c r="A19" i="25" s="1"/>
  <c r="A20" i="25" s="1"/>
  <c r="A21" i="25" s="1"/>
  <c r="A24" i="25" s="1"/>
  <c r="A25" i="25" s="1"/>
  <c r="A28" i="25" s="1"/>
  <c r="A29" i="25" s="1"/>
  <c r="A30" i="25" s="1"/>
  <c r="A31" i="25" s="1"/>
  <c r="A32" i="25" s="1"/>
  <c r="A35" i="25" s="1"/>
  <c r="A36" i="25" s="1"/>
  <c r="A37" i="25" s="1"/>
  <c r="A38" i="25" s="1"/>
  <c r="A39" i="25" s="1"/>
  <c r="A40" i="25" s="1"/>
  <c r="A41" i="25" s="1"/>
  <c r="A46" i="24"/>
  <c r="A47" i="24" s="1"/>
  <c r="A48" i="24" s="1"/>
  <c r="A51" i="24" s="1"/>
  <c r="A52" i="24" s="1"/>
  <c r="A53" i="24" s="1"/>
  <c r="A54" i="24" s="1"/>
  <c r="A55" i="24" s="1"/>
  <c r="A56" i="24" s="1"/>
  <c r="A57" i="24" s="1"/>
  <c r="A58" i="24" s="1"/>
  <c r="A59" i="24" s="1"/>
  <c r="A60" i="24" s="1"/>
  <c r="A62" i="24" s="1"/>
  <c r="A63" i="24" s="1"/>
  <c r="A16" i="24"/>
  <c r="A17" i="24" s="1"/>
  <c r="A18" i="24" s="1"/>
  <c r="A19" i="24" s="1"/>
  <c r="A20" i="24" s="1"/>
  <c r="A21" i="24" s="1"/>
  <c r="A24" i="24" s="1"/>
  <c r="A25" i="24" s="1"/>
  <c r="A28" i="24" s="1"/>
  <c r="A29" i="24" s="1"/>
  <c r="A30" i="24" s="1"/>
  <c r="A31" i="24" s="1"/>
  <c r="A32" i="24" s="1"/>
  <c r="A35" i="24" s="1"/>
  <c r="A36" i="24" s="1"/>
  <c r="A37" i="24" s="1"/>
  <c r="A38" i="24" s="1"/>
  <c r="A39" i="24" s="1"/>
  <c r="A40" i="24" s="1"/>
  <c r="A41" i="24" s="1"/>
  <c r="A46" i="6"/>
  <c r="A47" i="6" s="1"/>
  <c r="A48" i="6" s="1"/>
  <c r="A51" i="6" s="1"/>
  <c r="A52" i="6" s="1"/>
  <c r="A53" i="6" s="1"/>
  <c r="A54" i="6" s="1"/>
  <c r="A55" i="6" s="1"/>
  <c r="A56" i="6" s="1"/>
  <c r="A57" i="6" s="1"/>
  <c r="A58" i="6" s="1"/>
  <c r="A59" i="6" s="1"/>
  <c r="A60" i="6" s="1"/>
  <c r="A62" i="6" s="1"/>
  <c r="A63" i="6" s="1"/>
  <c r="A16" i="6"/>
  <c r="A17" i="6" s="1"/>
  <c r="A18" i="6" s="1"/>
  <c r="A19" i="6" s="1"/>
  <c r="A20" i="6" s="1"/>
  <c r="A21" i="6" s="1"/>
  <c r="A24" i="6" s="1"/>
  <c r="A25" i="6" s="1"/>
  <c r="A28" i="6" s="1"/>
  <c r="A29" i="6" s="1"/>
  <c r="A30" i="6" s="1"/>
  <c r="A31" i="6" s="1"/>
  <c r="A32" i="6" s="1"/>
  <c r="A35" i="6" s="1"/>
  <c r="A36" i="6" s="1"/>
  <c r="A37" i="6" s="1"/>
  <c r="A38" i="6" s="1"/>
  <c r="A39" i="6" s="1"/>
  <c r="A40" i="6" s="1"/>
  <c r="A41" i="6" s="1"/>
  <c r="A46" i="22"/>
  <c r="A47" i="22" s="1"/>
  <c r="A48" i="22" s="1"/>
  <c r="A51" i="22" s="1"/>
  <c r="A52" i="22" s="1"/>
  <c r="A53" i="22" s="1"/>
  <c r="A54" i="22" s="1"/>
  <c r="A55" i="22" s="1"/>
  <c r="A56" i="22" s="1"/>
  <c r="A57" i="22" s="1"/>
  <c r="A58" i="22" s="1"/>
  <c r="A59" i="22" s="1"/>
  <c r="A60" i="22" s="1"/>
  <c r="A62" i="22" s="1"/>
  <c r="A63" i="22" s="1"/>
  <c r="A16" i="22"/>
  <c r="A17" i="22" s="1"/>
  <c r="A18" i="22" s="1"/>
  <c r="A19" i="22" s="1"/>
  <c r="A20" i="22" s="1"/>
  <c r="A21" i="22" s="1"/>
  <c r="A24" i="22" s="1"/>
  <c r="A25" i="22" s="1"/>
  <c r="A28" i="22" s="1"/>
  <c r="A29" i="22" s="1"/>
  <c r="A30" i="22" s="1"/>
  <c r="A31" i="22" s="1"/>
  <c r="A32" i="22" s="1"/>
  <c r="A35" i="22" s="1"/>
  <c r="A36" i="22" s="1"/>
  <c r="A37" i="22" s="1"/>
  <c r="A38" i="22" s="1"/>
  <c r="A39" i="22" s="1"/>
  <c r="A40" i="22" s="1"/>
  <c r="A41" i="22" s="1"/>
  <c r="A46" i="20"/>
  <c r="A47" i="20" s="1"/>
  <c r="A48" i="20" s="1"/>
  <c r="A51" i="20" s="1"/>
  <c r="A52" i="20" s="1"/>
  <c r="A53" i="20" s="1"/>
  <c r="A54" i="20" s="1"/>
  <c r="A55" i="20" s="1"/>
  <c r="A56" i="20" s="1"/>
  <c r="A57" i="20" s="1"/>
  <c r="A58" i="20" s="1"/>
  <c r="A59" i="20" s="1"/>
  <c r="A60" i="20" s="1"/>
  <c r="A62" i="20" s="1"/>
  <c r="A63" i="20" s="1"/>
  <c r="A16" i="20"/>
  <c r="A17" i="20" s="1"/>
  <c r="A18" i="20" s="1"/>
  <c r="A19" i="20" s="1"/>
  <c r="A20" i="20" s="1"/>
  <c r="A21" i="20" s="1"/>
  <c r="A24" i="20" s="1"/>
  <c r="A25" i="20" s="1"/>
  <c r="A28" i="20" s="1"/>
  <c r="A29" i="20" s="1"/>
  <c r="A30" i="20" s="1"/>
  <c r="A31" i="20" s="1"/>
  <c r="A32" i="20" s="1"/>
  <c r="A35" i="20" s="1"/>
  <c r="A36" i="20" s="1"/>
  <c r="A37" i="20" s="1"/>
  <c r="A38" i="20" s="1"/>
  <c r="A39" i="20" s="1"/>
  <c r="A40" i="20" s="1"/>
  <c r="A41" i="20" s="1"/>
  <c r="A46" i="19"/>
  <c r="A47" i="19" s="1"/>
  <c r="A48" i="19" s="1"/>
  <c r="A51" i="19" s="1"/>
  <c r="A52" i="19" s="1"/>
  <c r="A53" i="19" s="1"/>
  <c r="A54" i="19" s="1"/>
  <c r="A55" i="19" s="1"/>
  <c r="A56" i="19" s="1"/>
  <c r="A57" i="19" s="1"/>
  <c r="A58" i="19" s="1"/>
  <c r="A59" i="19" s="1"/>
  <c r="A60" i="19" s="1"/>
  <c r="A62" i="19" s="1"/>
  <c r="A63" i="19" s="1"/>
  <c r="A16" i="19"/>
  <c r="A17" i="19" s="1"/>
  <c r="A18" i="19" s="1"/>
  <c r="A19" i="19" s="1"/>
  <c r="A20" i="19" s="1"/>
  <c r="A21" i="19" s="1"/>
  <c r="A24" i="19" s="1"/>
  <c r="A25" i="19" s="1"/>
  <c r="A28" i="19" s="1"/>
  <c r="A29" i="19" s="1"/>
  <c r="A30" i="19" s="1"/>
  <c r="A31" i="19" s="1"/>
  <c r="A32" i="19" s="1"/>
  <c r="A35" i="19" s="1"/>
  <c r="A36" i="19" s="1"/>
  <c r="A37" i="19" s="1"/>
  <c r="A38" i="19" s="1"/>
  <c r="A39" i="19" s="1"/>
  <c r="A40" i="19" s="1"/>
  <c r="A41" i="19" s="1"/>
  <c r="A46" i="18"/>
  <c r="A47" i="18" s="1"/>
  <c r="A48" i="18" s="1"/>
  <c r="A51" i="18" s="1"/>
  <c r="A52" i="18" s="1"/>
  <c r="A53" i="18" s="1"/>
  <c r="A54" i="18" s="1"/>
  <c r="A55" i="18" s="1"/>
  <c r="A56" i="18" s="1"/>
  <c r="A57" i="18" s="1"/>
  <c r="A58" i="18" s="1"/>
  <c r="A59" i="18" s="1"/>
  <c r="A60" i="18" s="1"/>
  <c r="A62" i="18" s="1"/>
  <c r="A63" i="18" s="1"/>
  <c r="A16" i="18"/>
  <c r="A17" i="18"/>
  <c r="A18" i="18" s="1"/>
  <c r="A19" i="18" s="1"/>
  <c r="A20" i="18" s="1"/>
  <c r="A21" i="18" s="1"/>
  <c r="A24" i="18" s="1"/>
  <c r="A25" i="18" s="1"/>
  <c r="A28" i="18" s="1"/>
  <c r="A29" i="18" s="1"/>
  <c r="A30" i="18" s="1"/>
  <c r="A31" i="18" s="1"/>
  <c r="A32" i="18" s="1"/>
  <c r="A35" i="18" s="1"/>
  <c r="A36" i="18" s="1"/>
  <c r="A37" i="18" s="1"/>
  <c r="A38" i="18" s="1"/>
  <c r="A39" i="18" s="1"/>
  <c r="A40" i="18" s="1"/>
  <c r="A41" i="18" s="1"/>
  <c r="A46" i="17"/>
  <c r="A47" i="17" s="1"/>
  <c r="A48" i="17" s="1"/>
  <c r="A51" i="17" s="1"/>
  <c r="A52" i="17" s="1"/>
  <c r="A53" i="17" s="1"/>
  <c r="A54" i="17" s="1"/>
  <c r="A55" i="17" s="1"/>
  <c r="A56" i="17" s="1"/>
  <c r="A57" i="17" s="1"/>
  <c r="A58" i="17" s="1"/>
  <c r="A59" i="17" s="1"/>
  <c r="A60" i="17" s="1"/>
  <c r="A62" i="17" s="1"/>
  <c r="A63" i="17" s="1"/>
  <c r="A16" i="17"/>
  <c r="A17" i="17" s="1"/>
  <c r="A18" i="17" s="1"/>
  <c r="A19" i="17" s="1"/>
  <c r="A20" i="17" s="1"/>
  <c r="A21" i="17" s="1"/>
  <c r="A24" i="17" s="1"/>
  <c r="A25" i="17" s="1"/>
  <c r="A28" i="17" s="1"/>
  <c r="A29" i="17" s="1"/>
  <c r="A30" i="17" s="1"/>
  <c r="A31" i="17" s="1"/>
  <c r="A32" i="17" s="1"/>
  <c r="A35" i="17" s="1"/>
  <c r="A36" i="17" s="1"/>
  <c r="A37" i="17" s="1"/>
  <c r="A38" i="17" s="1"/>
  <c r="A39" i="17" s="1"/>
  <c r="A40" i="17" s="1"/>
  <c r="A41" i="17" s="1"/>
  <c r="A46" i="34"/>
  <c r="A47" i="34" s="1"/>
  <c r="A48" i="34" s="1"/>
  <c r="A51" i="34" s="1"/>
  <c r="A52" i="34" s="1"/>
  <c r="A53" i="34" s="1"/>
  <c r="A54" i="34" s="1"/>
  <c r="A55" i="34" s="1"/>
  <c r="A56" i="34" s="1"/>
  <c r="A57" i="34" s="1"/>
  <c r="A58" i="34" s="1"/>
  <c r="A59" i="34" s="1"/>
  <c r="A60" i="34" s="1"/>
  <c r="A62" i="34" s="1"/>
  <c r="A63" i="34" s="1"/>
  <c r="A16" i="34"/>
  <c r="A17" i="34" s="1"/>
  <c r="A18" i="34" s="1"/>
  <c r="A19" i="34" s="1"/>
  <c r="A20" i="34" s="1"/>
  <c r="A21" i="34" s="1"/>
  <c r="A24" i="34" s="1"/>
  <c r="A25" i="34" s="1"/>
  <c r="A28" i="34" s="1"/>
  <c r="A29" i="34" s="1"/>
  <c r="A30" i="34" s="1"/>
  <c r="A31" i="34" s="1"/>
  <c r="A32" i="34" s="1"/>
  <c r="A35" i="34" s="1"/>
  <c r="A36" i="34" s="1"/>
  <c r="A37" i="34" s="1"/>
  <c r="A38" i="34" s="1"/>
  <c r="A39" i="34" s="1"/>
  <c r="A40" i="34" s="1"/>
  <c r="A41" i="34" s="1"/>
  <c r="A46" i="88"/>
  <c r="A47" i="88" s="1"/>
  <c r="A48" i="88" s="1"/>
  <c r="A51" i="88" s="1"/>
  <c r="A52" i="88" s="1"/>
  <c r="A53" i="88" s="1"/>
  <c r="A54" i="88" s="1"/>
  <c r="A55" i="88" s="1"/>
  <c r="A56" i="88" s="1"/>
  <c r="A57" i="88" s="1"/>
  <c r="A58" i="88" s="1"/>
  <c r="A59" i="88" s="1"/>
  <c r="A60" i="88" s="1"/>
  <c r="A62" i="88" s="1"/>
  <c r="A63" i="88" s="1"/>
  <c r="A16" i="88"/>
  <c r="A17" i="88" s="1"/>
  <c r="A18" i="88" s="1"/>
  <c r="A19" i="88" s="1"/>
  <c r="A20" i="88" s="1"/>
  <c r="A21" i="88" s="1"/>
  <c r="A24" i="88" s="1"/>
  <c r="A25" i="88" s="1"/>
  <c r="A28" i="88" s="1"/>
  <c r="A29" i="88" s="1"/>
  <c r="A30" i="88" s="1"/>
  <c r="A31" i="88" s="1"/>
  <c r="A32" i="88" s="1"/>
  <c r="A35" i="88" s="1"/>
  <c r="A36" i="88" s="1"/>
  <c r="A37" i="88" s="1"/>
  <c r="A38" i="88" s="1"/>
  <c r="A39" i="88" s="1"/>
  <c r="A40" i="88" s="1"/>
  <c r="A41" i="88" s="1"/>
  <c r="J26" i="92" l="1"/>
  <c r="G28" i="92" s="1"/>
  <c r="D35" i="108"/>
  <c r="E35" i="108"/>
  <c r="F35" i="108"/>
  <c r="D37" i="108"/>
  <c r="G36" i="108"/>
  <c r="G37" i="108" s="1"/>
  <c r="C41" i="92"/>
  <c r="E17" i="19"/>
  <c r="E21" i="19" s="1"/>
  <c r="H29" i="20"/>
  <c r="G51" i="104"/>
  <c r="H51" i="104" s="1"/>
  <c r="G24" i="24"/>
  <c r="G58" i="18"/>
  <c r="H58" i="18" s="1"/>
  <c r="E45" i="104"/>
  <c r="G53" i="19"/>
  <c r="H53" i="19" s="1"/>
  <c r="D43" i="104"/>
  <c r="G43" i="25"/>
  <c r="E13" i="17"/>
  <c r="E47" i="27"/>
  <c r="C8" i="25"/>
  <c r="E47" i="19"/>
  <c r="G59" i="104"/>
  <c r="H59" i="104" s="1"/>
  <c r="G42" i="26"/>
  <c r="E43" i="104"/>
  <c r="D47" i="27"/>
  <c r="H29" i="34"/>
  <c r="C6" i="18"/>
  <c r="D38" i="20"/>
  <c r="H38" i="20" s="1"/>
  <c r="C8" i="104"/>
  <c r="E13" i="18"/>
  <c r="G20" i="104"/>
  <c r="G21" i="104" s="1"/>
  <c r="G42" i="104"/>
  <c r="E13" i="104"/>
  <c r="E13" i="6"/>
  <c r="F19" i="104"/>
  <c r="H19" i="104" s="1"/>
  <c r="C8" i="21"/>
  <c r="C7" i="20"/>
  <c r="D45" i="20"/>
  <c r="G45" i="32"/>
  <c r="D16" i="32"/>
  <c r="D21" i="32" s="1"/>
  <c r="D16" i="104"/>
  <c r="D21" i="104" s="1"/>
  <c r="C8" i="20"/>
  <c r="E47" i="32"/>
  <c r="G20" i="25"/>
  <c r="G21" i="25" s="1"/>
  <c r="F18" i="34"/>
  <c r="C8" i="34"/>
  <c r="H63" i="6"/>
  <c r="G43" i="22"/>
  <c r="E24" i="31"/>
  <c r="H28" i="34"/>
  <c r="E13" i="34"/>
  <c r="H63" i="20"/>
  <c r="E43" i="22"/>
  <c r="G54" i="34"/>
  <c r="D24" i="31"/>
  <c r="F43" i="104"/>
  <c r="G13" i="22"/>
  <c r="H28" i="17"/>
  <c r="D47" i="24"/>
  <c r="F42" i="25"/>
  <c r="G13" i="21"/>
  <c r="E47" i="17"/>
  <c r="G59" i="19"/>
  <c r="H59" i="19" s="1"/>
  <c r="G52" i="20"/>
  <c r="H52" i="20" s="1"/>
  <c r="D38" i="21"/>
  <c r="H38" i="21" s="1"/>
  <c r="G45" i="24"/>
  <c r="H31" i="26"/>
  <c r="F43" i="31"/>
  <c r="E42" i="20"/>
  <c r="D16" i="17"/>
  <c r="E24" i="6"/>
  <c r="H28" i="28"/>
  <c r="G43" i="104"/>
  <c r="F18" i="104"/>
  <c r="F45" i="104"/>
  <c r="E17" i="104"/>
  <c r="E21" i="104" s="1"/>
  <c r="C8" i="22"/>
  <c r="C6" i="34"/>
  <c r="G13" i="17"/>
  <c r="C6" i="22"/>
  <c r="H63" i="22"/>
  <c r="E45" i="17"/>
  <c r="G56" i="19"/>
  <c r="H56" i="19" s="1"/>
  <c r="E45" i="20"/>
  <c r="G58" i="22"/>
  <c r="H58" i="22" s="1"/>
  <c r="E47" i="24"/>
  <c r="G45" i="27"/>
  <c r="E43" i="31"/>
  <c r="G42" i="24"/>
  <c r="G20" i="18"/>
  <c r="H29" i="24"/>
  <c r="F19" i="31"/>
  <c r="H19" i="31" s="1"/>
  <c r="F42" i="104"/>
  <c r="H63" i="17"/>
  <c r="G13" i="24"/>
  <c r="G13" i="4"/>
  <c r="G56" i="18"/>
  <c r="H56" i="18" s="1"/>
  <c r="D47" i="19"/>
  <c r="G51" i="21"/>
  <c r="D45" i="22"/>
  <c r="E43" i="25"/>
  <c r="G53" i="28"/>
  <c r="H53" i="28" s="1"/>
  <c r="D47" i="32"/>
  <c r="G43" i="34"/>
  <c r="F42" i="31"/>
  <c r="G20" i="20"/>
  <c r="E17" i="25"/>
  <c r="D16" i="4"/>
  <c r="G24" i="4"/>
  <c r="G20" i="32"/>
  <c r="E17" i="31"/>
  <c r="F24" i="31"/>
  <c r="F19" i="28"/>
  <c r="H19" i="28" s="1"/>
  <c r="D16" i="27"/>
  <c r="G24" i="27"/>
  <c r="G20" i="26"/>
  <c r="F24" i="25"/>
  <c r="D24" i="24"/>
  <c r="H28" i="24"/>
  <c r="F18" i="6"/>
  <c r="D16" i="22"/>
  <c r="G24" i="22"/>
  <c r="G20" i="21"/>
  <c r="F24" i="20"/>
  <c r="D24" i="19"/>
  <c r="D16" i="18"/>
  <c r="G24" i="18"/>
  <c r="F42" i="32"/>
  <c r="F42" i="28"/>
  <c r="F42" i="26"/>
  <c r="F42" i="24"/>
  <c r="F42" i="22"/>
  <c r="F42" i="20"/>
  <c r="F42" i="18"/>
  <c r="D47" i="34"/>
  <c r="G45" i="34"/>
  <c r="G59" i="34"/>
  <c r="D47" i="4"/>
  <c r="G45" i="4"/>
  <c r="G59" i="4"/>
  <c r="H59" i="4" s="1"/>
  <c r="F43" i="32"/>
  <c r="G54" i="32"/>
  <c r="H54" i="32" s="1"/>
  <c r="D47" i="31"/>
  <c r="G45" i="31"/>
  <c r="G59" i="31"/>
  <c r="H59" i="31" s="1"/>
  <c r="F43" i="28"/>
  <c r="G54" i="28"/>
  <c r="H54" i="28" s="1"/>
  <c r="H30" i="27"/>
  <c r="F43" i="27"/>
  <c r="G54" i="27"/>
  <c r="H54" i="27" s="1"/>
  <c r="H30" i="26"/>
  <c r="F43" i="26"/>
  <c r="G54" i="26"/>
  <c r="H54" i="26" s="1"/>
  <c r="D47" i="25"/>
  <c r="G45" i="25"/>
  <c r="G59" i="25"/>
  <c r="H59" i="25" s="1"/>
  <c r="F43" i="24"/>
  <c r="G54" i="24"/>
  <c r="H54" i="24" s="1"/>
  <c r="D47" i="6"/>
  <c r="G45" i="6"/>
  <c r="G59" i="6"/>
  <c r="H59" i="6" s="1"/>
  <c r="D47" i="22"/>
  <c r="G45" i="22"/>
  <c r="G59" i="22"/>
  <c r="H59" i="22" s="1"/>
  <c r="D47" i="21"/>
  <c r="G45" i="21"/>
  <c r="G59" i="21"/>
  <c r="H59" i="21" s="1"/>
  <c r="F43" i="20"/>
  <c r="G54" i="20"/>
  <c r="H54" i="20" s="1"/>
  <c r="H30" i="19"/>
  <c r="F43" i="19"/>
  <c r="G54" i="19"/>
  <c r="H54" i="19" s="1"/>
  <c r="H30" i="18"/>
  <c r="F43" i="18"/>
  <c r="G54" i="18"/>
  <c r="H54" i="18" s="1"/>
  <c r="H30" i="17"/>
  <c r="F43" i="17"/>
  <c r="G54" i="17"/>
  <c r="H54" i="17" s="1"/>
  <c r="H63" i="4"/>
  <c r="E17" i="4"/>
  <c r="D24" i="32"/>
  <c r="H28" i="32"/>
  <c r="H28" i="31"/>
  <c r="G24" i="31"/>
  <c r="G20" i="28"/>
  <c r="E17" i="27"/>
  <c r="D24" i="26"/>
  <c r="D16" i="25"/>
  <c r="G24" i="25"/>
  <c r="E24" i="24"/>
  <c r="H30" i="24"/>
  <c r="F24" i="6"/>
  <c r="E17" i="22"/>
  <c r="D24" i="21"/>
  <c r="D16" i="20"/>
  <c r="G24" i="20"/>
  <c r="E24" i="19"/>
  <c r="E17" i="18"/>
  <c r="D24" i="17"/>
  <c r="D42" i="34"/>
  <c r="D42" i="4"/>
  <c r="D42" i="31"/>
  <c r="D42" i="27"/>
  <c r="D42" i="25"/>
  <c r="D42" i="6"/>
  <c r="D42" i="21"/>
  <c r="D42" i="19"/>
  <c r="D42" i="17"/>
  <c r="E45" i="34"/>
  <c r="G52" i="34"/>
  <c r="H28" i="4"/>
  <c r="E45" i="4"/>
  <c r="G52" i="4"/>
  <c r="H52" i="4" s="1"/>
  <c r="D43" i="32"/>
  <c r="F47" i="32"/>
  <c r="G57" i="32"/>
  <c r="H57" i="32" s="1"/>
  <c r="E45" i="31"/>
  <c r="G52" i="31"/>
  <c r="H52" i="31" s="1"/>
  <c r="D43" i="28"/>
  <c r="F47" i="28"/>
  <c r="G57" i="28"/>
  <c r="H57" i="28" s="1"/>
  <c r="D43" i="27"/>
  <c r="F47" i="27"/>
  <c r="G57" i="27"/>
  <c r="H57" i="27" s="1"/>
  <c r="D43" i="26"/>
  <c r="F47" i="26"/>
  <c r="G57" i="26"/>
  <c r="H57" i="26" s="1"/>
  <c r="E45" i="25"/>
  <c r="G52" i="25"/>
  <c r="H52" i="25" s="1"/>
  <c r="D43" i="24"/>
  <c r="F47" i="24"/>
  <c r="G57" i="24"/>
  <c r="H57" i="24" s="1"/>
  <c r="E45" i="6"/>
  <c r="G52" i="6"/>
  <c r="H52" i="6" s="1"/>
  <c r="H28" i="22"/>
  <c r="E45" i="22"/>
  <c r="G52" i="22"/>
  <c r="H52" i="22" s="1"/>
  <c r="H28" i="21"/>
  <c r="E45" i="21"/>
  <c r="G52" i="21"/>
  <c r="H52" i="21" s="1"/>
  <c r="D43" i="20"/>
  <c r="F47" i="20"/>
  <c r="G57" i="20"/>
  <c r="H57" i="20" s="1"/>
  <c r="D43" i="19"/>
  <c r="F47" i="19"/>
  <c r="G57" i="19"/>
  <c r="H57" i="19" s="1"/>
  <c r="D43" i="18"/>
  <c r="F47" i="18"/>
  <c r="G57" i="18"/>
  <c r="H57" i="18" s="1"/>
  <c r="D43" i="17"/>
  <c r="F47" i="17"/>
  <c r="G57" i="17"/>
  <c r="H57" i="17" s="1"/>
  <c r="E24" i="4"/>
  <c r="E17" i="32"/>
  <c r="H29" i="32"/>
  <c r="H29" i="31"/>
  <c r="D16" i="28"/>
  <c r="G24" i="28"/>
  <c r="E24" i="27"/>
  <c r="E17" i="26"/>
  <c r="D24" i="25"/>
  <c r="H28" i="25"/>
  <c r="F18" i="24"/>
  <c r="H31" i="24"/>
  <c r="G20" i="6"/>
  <c r="E24" i="22"/>
  <c r="E17" i="21"/>
  <c r="D24" i="20"/>
  <c r="H28" i="20"/>
  <c r="F18" i="19"/>
  <c r="E24" i="18"/>
  <c r="E17" i="17"/>
  <c r="E42" i="34"/>
  <c r="E42" i="4"/>
  <c r="E42" i="31"/>
  <c r="E42" i="27"/>
  <c r="E42" i="25"/>
  <c r="E42" i="6"/>
  <c r="E42" i="21"/>
  <c r="E42" i="19"/>
  <c r="E42" i="17"/>
  <c r="E47" i="34"/>
  <c r="G53" i="34"/>
  <c r="H29" i="4"/>
  <c r="E47" i="4"/>
  <c r="G53" i="4"/>
  <c r="H53" i="4" s="1"/>
  <c r="D45" i="32"/>
  <c r="G43" i="32"/>
  <c r="G58" i="32"/>
  <c r="H58" i="32" s="1"/>
  <c r="E47" i="31"/>
  <c r="G53" i="31"/>
  <c r="H53" i="31" s="1"/>
  <c r="D45" i="28"/>
  <c r="G43" i="28"/>
  <c r="G58" i="28"/>
  <c r="H58" i="28" s="1"/>
  <c r="D45" i="27"/>
  <c r="G43" i="27"/>
  <c r="G58" i="27"/>
  <c r="H58" i="27" s="1"/>
  <c r="D45" i="26"/>
  <c r="G43" i="26"/>
  <c r="G58" i="26"/>
  <c r="H58" i="26" s="1"/>
  <c r="E47" i="25"/>
  <c r="G53" i="25"/>
  <c r="H53" i="25" s="1"/>
  <c r="D45" i="24"/>
  <c r="G43" i="24"/>
  <c r="G58" i="24"/>
  <c r="H58" i="24" s="1"/>
  <c r="E47" i="6"/>
  <c r="G53" i="6"/>
  <c r="H53" i="6" s="1"/>
  <c r="H29" i="22"/>
  <c r="E47" i="22"/>
  <c r="F19" i="4"/>
  <c r="H19" i="4" s="1"/>
  <c r="F18" i="32"/>
  <c r="H31" i="32"/>
  <c r="H31" i="31"/>
  <c r="E17" i="28"/>
  <c r="H29" i="28"/>
  <c r="F19" i="27"/>
  <c r="H19" i="27" s="1"/>
  <c r="F18" i="26"/>
  <c r="E24" i="25"/>
  <c r="H30" i="25"/>
  <c r="F24" i="24"/>
  <c r="D24" i="6"/>
  <c r="H28" i="6"/>
  <c r="F19" i="22"/>
  <c r="H19" i="22" s="1"/>
  <c r="F18" i="21"/>
  <c r="E24" i="20"/>
  <c r="H30" i="20"/>
  <c r="F24" i="19"/>
  <c r="F19" i="18"/>
  <c r="H19" i="18" s="1"/>
  <c r="F18" i="17"/>
  <c r="G42" i="34"/>
  <c r="G42" i="4"/>
  <c r="G42" i="31"/>
  <c r="G42" i="27"/>
  <c r="G42" i="25"/>
  <c r="G42" i="6"/>
  <c r="G42" i="21"/>
  <c r="G42" i="19"/>
  <c r="G42" i="17"/>
  <c r="F45" i="34"/>
  <c r="G56" i="34"/>
  <c r="H31" i="4"/>
  <c r="F45" i="4"/>
  <c r="G56" i="4"/>
  <c r="H56" i="4" s="1"/>
  <c r="E43" i="32"/>
  <c r="G51" i="32"/>
  <c r="D38" i="31"/>
  <c r="H38" i="31" s="1"/>
  <c r="F45" i="31"/>
  <c r="G56" i="31"/>
  <c r="H56" i="31" s="1"/>
  <c r="E43" i="28"/>
  <c r="G51" i="28"/>
  <c r="D38" i="27"/>
  <c r="H38" i="27" s="1"/>
  <c r="E43" i="27"/>
  <c r="G51" i="27"/>
  <c r="D38" i="26"/>
  <c r="H38" i="26" s="1"/>
  <c r="E43" i="26"/>
  <c r="G51" i="26"/>
  <c r="D38" i="25"/>
  <c r="H38" i="25" s="1"/>
  <c r="F45" i="25"/>
  <c r="G56" i="25"/>
  <c r="H56" i="25" s="1"/>
  <c r="E43" i="24"/>
  <c r="G51" i="24"/>
  <c r="D38" i="6"/>
  <c r="H38" i="6" s="1"/>
  <c r="F45" i="6"/>
  <c r="G56" i="6"/>
  <c r="H56" i="6" s="1"/>
  <c r="H31" i="22"/>
  <c r="F45" i="22"/>
  <c r="G56" i="22"/>
  <c r="H56" i="22" s="1"/>
  <c r="H31" i="21"/>
  <c r="F45" i="21"/>
  <c r="G56" i="21"/>
  <c r="H56" i="21" s="1"/>
  <c r="E43" i="20"/>
  <c r="G51" i="20"/>
  <c r="D38" i="19"/>
  <c r="H38" i="19" s="1"/>
  <c r="E43" i="19"/>
  <c r="G51" i="19"/>
  <c r="D38" i="18"/>
  <c r="H38" i="18" s="1"/>
  <c r="E43" i="18"/>
  <c r="G51" i="18"/>
  <c r="D38" i="17"/>
  <c r="H38" i="17" s="1"/>
  <c r="E43" i="17"/>
  <c r="G51" i="17"/>
  <c r="E13" i="21"/>
  <c r="C7" i="4"/>
  <c r="F24" i="4"/>
  <c r="F19" i="32"/>
  <c r="H19" i="32" s="1"/>
  <c r="D16" i="31"/>
  <c r="F18" i="31"/>
  <c r="H18" i="31" s="1"/>
  <c r="E24" i="28"/>
  <c r="H30" i="28"/>
  <c r="F24" i="27"/>
  <c r="F19" i="26"/>
  <c r="H19" i="26" s="1"/>
  <c r="F18" i="25"/>
  <c r="H31" i="25"/>
  <c r="G20" i="24"/>
  <c r="E17" i="6"/>
  <c r="H29" i="6"/>
  <c r="F24" i="22"/>
  <c r="F19" i="21"/>
  <c r="H19" i="21" s="1"/>
  <c r="F18" i="20"/>
  <c r="H31" i="20"/>
  <c r="G20" i="19"/>
  <c r="F24" i="18"/>
  <c r="F19" i="17"/>
  <c r="H19" i="17" s="1"/>
  <c r="D42" i="32"/>
  <c r="D42" i="28"/>
  <c r="D42" i="26"/>
  <c r="D42" i="24"/>
  <c r="D42" i="22"/>
  <c r="D42" i="20"/>
  <c r="D42" i="18"/>
  <c r="D38" i="34"/>
  <c r="F47" i="34"/>
  <c r="G57" i="34"/>
  <c r="D43" i="4"/>
  <c r="F47" i="4"/>
  <c r="G57" i="4"/>
  <c r="H57" i="4" s="1"/>
  <c r="E45" i="32"/>
  <c r="G52" i="32"/>
  <c r="H52" i="32" s="1"/>
  <c r="D43" i="31"/>
  <c r="F47" i="31"/>
  <c r="G57" i="31"/>
  <c r="H57" i="31" s="1"/>
  <c r="E45" i="28"/>
  <c r="G52" i="28"/>
  <c r="H52" i="28" s="1"/>
  <c r="H28" i="27"/>
  <c r="E45" i="27"/>
  <c r="G52" i="27"/>
  <c r="H52" i="27" s="1"/>
  <c r="H28" i="26"/>
  <c r="E45" i="26"/>
  <c r="G52" i="26"/>
  <c r="H52" i="26" s="1"/>
  <c r="D43" i="25"/>
  <c r="F47" i="25"/>
  <c r="G57" i="25"/>
  <c r="H57" i="25" s="1"/>
  <c r="E45" i="24"/>
  <c r="G52" i="24"/>
  <c r="H52" i="24" s="1"/>
  <c r="D43" i="6"/>
  <c r="F47" i="6"/>
  <c r="G57" i="6"/>
  <c r="H57" i="6" s="1"/>
  <c r="D43" i="22"/>
  <c r="F47" i="22"/>
  <c r="E24" i="32"/>
  <c r="G20" i="31"/>
  <c r="G21" i="31" s="1"/>
  <c r="G20" i="27"/>
  <c r="H29" i="25"/>
  <c r="F19" i="6"/>
  <c r="H19" i="6" s="1"/>
  <c r="F24" i="21"/>
  <c r="F19" i="19"/>
  <c r="H19" i="19" s="1"/>
  <c r="G24" i="17"/>
  <c r="E42" i="28"/>
  <c r="F42" i="6"/>
  <c r="G42" i="18"/>
  <c r="G58" i="34"/>
  <c r="G51" i="4"/>
  <c r="G53" i="32"/>
  <c r="H53" i="32" s="1"/>
  <c r="G54" i="31"/>
  <c r="H54" i="31" s="1"/>
  <c r="G56" i="28"/>
  <c r="H56" i="28" s="1"/>
  <c r="G53" i="27"/>
  <c r="H53" i="27" s="1"/>
  <c r="G45" i="26"/>
  <c r="G51" i="25"/>
  <c r="G53" i="24"/>
  <c r="H53" i="24" s="1"/>
  <c r="G54" i="6"/>
  <c r="H54" i="6" s="1"/>
  <c r="G51" i="22"/>
  <c r="D43" i="21"/>
  <c r="G53" i="21"/>
  <c r="H53" i="21" s="1"/>
  <c r="E47" i="20"/>
  <c r="G59" i="20"/>
  <c r="H59" i="20" s="1"/>
  <c r="F45" i="19"/>
  <c r="H28" i="18"/>
  <c r="G43" i="18"/>
  <c r="H29" i="17"/>
  <c r="G45" i="17"/>
  <c r="C6" i="31"/>
  <c r="H63" i="26"/>
  <c r="C6" i="25"/>
  <c r="E13" i="24"/>
  <c r="G13" i="6"/>
  <c r="H63" i="19"/>
  <c r="H63" i="18"/>
  <c r="C7" i="34"/>
  <c r="C8" i="26"/>
  <c r="G20" i="34"/>
  <c r="H31" i="34"/>
  <c r="H31" i="6"/>
  <c r="H29" i="104"/>
  <c r="E47" i="104"/>
  <c r="G13" i="104"/>
  <c r="D38" i="104"/>
  <c r="H38" i="104" s="1"/>
  <c r="F47" i="104"/>
  <c r="H63" i="25"/>
  <c r="F24" i="32"/>
  <c r="D24" i="28"/>
  <c r="D16" i="26"/>
  <c r="D16" i="24"/>
  <c r="G24" i="6"/>
  <c r="G24" i="21"/>
  <c r="G24" i="19"/>
  <c r="F42" i="34"/>
  <c r="G42" i="28"/>
  <c r="E42" i="22"/>
  <c r="F42" i="17"/>
  <c r="G54" i="4"/>
  <c r="H54" i="4" s="1"/>
  <c r="G56" i="32"/>
  <c r="H56" i="32" s="1"/>
  <c r="G58" i="31"/>
  <c r="H58" i="31" s="1"/>
  <c r="G59" i="28"/>
  <c r="H59" i="28" s="1"/>
  <c r="G56" i="27"/>
  <c r="H56" i="27" s="1"/>
  <c r="G53" i="26"/>
  <c r="H53" i="26" s="1"/>
  <c r="G54" i="25"/>
  <c r="H54" i="25" s="1"/>
  <c r="G56" i="24"/>
  <c r="H56" i="24" s="1"/>
  <c r="G58" i="6"/>
  <c r="H58" i="6" s="1"/>
  <c r="G53" i="22"/>
  <c r="H53" i="22" s="1"/>
  <c r="D45" i="21"/>
  <c r="G54" i="21"/>
  <c r="H54" i="21" s="1"/>
  <c r="F45" i="20"/>
  <c r="H28" i="19"/>
  <c r="G43" i="19"/>
  <c r="H29" i="18"/>
  <c r="G45" i="18"/>
  <c r="H31" i="17"/>
  <c r="G52" i="17"/>
  <c r="H52" i="17" s="1"/>
  <c r="H63" i="21"/>
  <c r="C6" i="32"/>
  <c r="C7" i="31"/>
  <c r="G24" i="32"/>
  <c r="F18" i="28"/>
  <c r="E24" i="26"/>
  <c r="E17" i="24"/>
  <c r="H30" i="6"/>
  <c r="E17" i="20"/>
  <c r="D24" i="18"/>
  <c r="F42" i="27"/>
  <c r="G42" i="22"/>
  <c r="D43" i="34"/>
  <c r="D38" i="4"/>
  <c r="H38" i="4" s="1"/>
  <c r="G58" i="4"/>
  <c r="H58" i="4" s="1"/>
  <c r="G59" i="32"/>
  <c r="H59" i="32" s="1"/>
  <c r="D38" i="28"/>
  <c r="H38" i="28" s="1"/>
  <c r="H29" i="27"/>
  <c r="G59" i="27"/>
  <c r="H59" i="27" s="1"/>
  <c r="G56" i="26"/>
  <c r="H56" i="26" s="1"/>
  <c r="G58" i="25"/>
  <c r="H58" i="25" s="1"/>
  <c r="G59" i="24"/>
  <c r="H59" i="24" s="1"/>
  <c r="D38" i="22"/>
  <c r="H38" i="22" s="1"/>
  <c r="G54" i="22"/>
  <c r="H54" i="22" s="1"/>
  <c r="E43" i="21"/>
  <c r="G57" i="21"/>
  <c r="H57" i="21" s="1"/>
  <c r="G43" i="20"/>
  <c r="H29" i="19"/>
  <c r="G45" i="19"/>
  <c r="H31" i="18"/>
  <c r="G52" i="18"/>
  <c r="H52" i="18" s="1"/>
  <c r="D45" i="17"/>
  <c r="G53" i="17"/>
  <c r="H53" i="17" s="1"/>
  <c r="C7" i="32"/>
  <c r="E13" i="31"/>
  <c r="G13" i="28"/>
  <c r="H63" i="24"/>
  <c r="C8" i="24"/>
  <c r="C7" i="6"/>
  <c r="E13" i="22"/>
  <c r="G13" i="20"/>
  <c r="C8" i="17"/>
  <c r="C8" i="19"/>
  <c r="G24" i="34"/>
  <c r="C7" i="104"/>
  <c r="H30" i="32"/>
  <c r="F24" i="28"/>
  <c r="F24" i="26"/>
  <c r="F19" i="24"/>
  <c r="H19" i="24" s="1"/>
  <c r="D24" i="22"/>
  <c r="F19" i="20"/>
  <c r="H19" i="20" s="1"/>
  <c r="F18" i="18"/>
  <c r="E42" i="26"/>
  <c r="F42" i="21"/>
  <c r="E43" i="34"/>
  <c r="H30" i="4"/>
  <c r="D38" i="32"/>
  <c r="H38" i="32" s="1"/>
  <c r="D45" i="31"/>
  <c r="D47" i="28"/>
  <c r="H31" i="27"/>
  <c r="H29" i="26"/>
  <c r="G59" i="26"/>
  <c r="H59" i="26" s="1"/>
  <c r="D38" i="24"/>
  <c r="H38" i="24" s="1"/>
  <c r="D45" i="6"/>
  <c r="H30" i="22"/>
  <c r="G57" i="22"/>
  <c r="H57" i="22" s="1"/>
  <c r="E47" i="21"/>
  <c r="G58" i="21"/>
  <c r="H58" i="21" s="1"/>
  <c r="G45" i="20"/>
  <c r="H31" i="19"/>
  <c r="G52" i="19"/>
  <c r="H52" i="19" s="1"/>
  <c r="D45" i="18"/>
  <c r="G53" i="18"/>
  <c r="H53" i="18" s="1"/>
  <c r="D47" i="17"/>
  <c r="G56" i="17"/>
  <c r="H56" i="17" s="1"/>
  <c r="C6" i="4"/>
  <c r="E13" i="32"/>
  <c r="G13" i="31"/>
  <c r="E13" i="28"/>
  <c r="G13" i="27"/>
  <c r="C6" i="6"/>
  <c r="C7" i="22"/>
  <c r="E13" i="20"/>
  <c r="G13" i="19"/>
  <c r="H30" i="31"/>
  <c r="D24" i="27"/>
  <c r="F19" i="25"/>
  <c r="H19" i="25" s="1"/>
  <c r="D16" i="6"/>
  <c r="D16" i="21"/>
  <c r="D16" i="19"/>
  <c r="E24" i="17"/>
  <c r="G42" i="32"/>
  <c r="E42" i="24"/>
  <c r="F42" i="19"/>
  <c r="G51" i="34"/>
  <c r="F43" i="4"/>
  <c r="F45" i="32"/>
  <c r="G43" i="31"/>
  <c r="G45" i="28"/>
  <c r="F45" i="27"/>
  <c r="E47" i="26"/>
  <c r="F43" i="25"/>
  <c r="F45" i="24"/>
  <c r="G43" i="6"/>
  <c r="F43" i="22"/>
  <c r="H29" i="21"/>
  <c r="G43" i="21"/>
  <c r="D47" i="20"/>
  <c r="G56" i="20"/>
  <c r="H56" i="20" s="1"/>
  <c r="E45" i="19"/>
  <c r="G58" i="19"/>
  <c r="H58" i="19" s="1"/>
  <c r="E47" i="18"/>
  <c r="G59" i="18"/>
  <c r="H59" i="18" s="1"/>
  <c r="F45" i="17"/>
  <c r="C6" i="21"/>
  <c r="H63" i="32"/>
  <c r="H63" i="31"/>
  <c r="H63" i="28"/>
  <c r="C6" i="27"/>
  <c r="C7" i="26"/>
  <c r="E13" i="25"/>
  <c r="C6" i="24"/>
  <c r="C6" i="19"/>
  <c r="C7" i="18"/>
  <c r="C7" i="17"/>
  <c r="G13" i="34"/>
  <c r="C8" i="27"/>
  <c r="C8" i="6"/>
  <c r="D16" i="34"/>
  <c r="H30" i="34"/>
  <c r="E17" i="34"/>
  <c r="E24" i="104"/>
  <c r="D45" i="104"/>
  <c r="C6" i="104"/>
  <c r="H28" i="104"/>
  <c r="G45" i="104"/>
  <c r="E42" i="104"/>
  <c r="H63" i="104"/>
  <c r="G13" i="18"/>
  <c r="G54" i="104"/>
  <c r="H54" i="104" s="1"/>
  <c r="H30" i="104"/>
  <c r="G58" i="104"/>
  <c r="H58" i="104" s="1"/>
  <c r="D42" i="104"/>
  <c r="E24" i="34"/>
  <c r="D24" i="34"/>
  <c r="C8" i="28"/>
  <c r="C7" i="24"/>
  <c r="C7" i="25"/>
  <c r="C6" i="26"/>
  <c r="H63" i="27"/>
  <c r="C8" i="32"/>
  <c r="E13" i="4"/>
  <c r="G59" i="17"/>
  <c r="H59" i="17" s="1"/>
  <c r="F45" i="18"/>
  <c r="D45" i="19"/>
  <c r="F47" i="21"/>
  <c r="G51" i="6"/>
  <c r="D45" i="25"/>
  <c r="F45" i="28"/>
  <c r="G43" i="4"/>
  <c r="F43" i="34"/>
  <c r="E42" i="32"/>
  <c r="E24" i="21"/>
  <c r="G24" i="26"/>
  <c r="F18" i="4"/>
  <c r="G57" i="104"/>
  <c r="H57" i="104" s="1"/>
  <c r="C8" i="18"/>
  <c r="F24" i="104"/>
  <c r="H31" i="104"/>
  <c r="H63" i="34"/>
  <c r="G13" i="25"/>
  <c r="C7" i="27"/>
  <c r="C6" i="28"/>
  <c r="G58" i="17"/>
  <c r="H58" i="17" s="1"/>
  <c r="E45" i="18"/>
  <c r="G58" i="20"/>
  <c r="H58" i="20" s="1"/>
  <c r="F43" i="21"/>
  <c r="F43" i="6"/>
  <c r="F45" i="26"/>
  <c r="E47" i="28"/>
  <c r="E43" i="4"/>
  <c r="E42" i="18"/>
  <c r="F42" i="4"/>
  <c r="G20" i="22"/>
  <c r="F18" i="27"/>
  <c r="D24" i="4"/>
  <c r="G52" i="104"/>
  <c r="H52" i="104" s="1"/>
  <c r="G56" i="104"/>
  <c r="H56" i="104" s="1"/>
  <c r="F19" i="34"/>
  <c r="C8" i="4"/>
  <c r="C7" i="19"/>
  <c r="E13" i="26"/>
  <c r="G13" i="32"/>
  <c r="D47" i="104"/>
  <c r="D24" i="104"/>
  <c r="G53" i="104"/>
  <c r="H53" i="104" s="1"/>
  <c r="G24" i="104"/>
  <c r="F24" i="34"/>
  <c r="C6" i="17"/>
  <c r="E13" i="19"/>
  <c r="C6" i="20"/>
  <c r="G13" i="26"/>
  <c r="E13" i="27"/>
  <c r="C7" i="28"/>
  <c r="C8" i="31"/>
  <c r="C7" i="21"/>
  <c r="G43" i="17"/>
  <c r="D47" i="18"/>
  <c r="G53" i="20"/>
  <c r="H53" i="20" s="1"/>
  <c r="H30" i="21"/>
  <c r="E43" i="6"/>
  <c r="D47" i="26"/>
  <c r="G51" i="31"/>
  <c r="H51" i="31" s="1"/>
  <c r="D45" i="4"/>
  <c r="G42" i="20"/>
  <c r="F24" i="17"/>
  <c r="F18" i="22"/>
  <c r="H31" i="28"/>
  <c r="D45" i="34"/>
  <c r="C6" i="106"/>
  <c r="C8" i="106"/>
  <c r="G13" i="106"/>
  <c r="D16" i="106"/>
  <c r="D21" i="106" s="1"/>
  <c r="F18" i="106"/>
  <c r="H18" i="106" s="1"/>
  <c r="F19" i="106"/>
  <c r="D24" i="106"/>
  <c r="F24" i="106"/>
  <c r="H28" i="106"/>
  <c r="H30" i="106"/>
  <c r="D38" i="106"/>
  <c r="H38" i="106" s="1"/>
  <c r="E42" i="106"/>
  <c r="G42" i="106"/>
  <c r="E43" i="106"/>
  <c r="G43" i="106"/>
  <c r="E45" i="106"/>
  <c r="G45" i="106"/>
  <c r="D47" i="106"/>
  <c r="F47" i="106"/>
  <c r="G52" i="106"/>
  <c r="H52" i="106" s="1"/>
  <c r="G54" i="106"/>
  <c r="H54" i="106" s="1"/>
  <c r="G57" i="106"/>
  <c r="H57" i="106" s="1"/>
  <c r="G59" i="106"/>
  <c r="H59" i="106" s="1"/>
  <c r="C7" i="107"/>
  <c r="E13" i="107"/>
  <c r="F18" i="107"/>
  <c r="H18" i="107" s="1"/>
  <c r="G20" i="107"/>
  <c r="D24" i="107"/>
  <c r="F24" i="107"/>
  <c r="H28" i="107"/>
  <c r="H30" i="107"/>
  <c r="D38" i="107"/>
  <c r="H38" i="107" s="1"/>
  <c r="E42" i="107"/>
  <c r="G42" i="107"/>
  <c r="E43" i="107"/>
  <c r="G43" i="107"/>
  <c r="E45" i="107"/>
  <c r="G45" i="107"/>
  <c r="D47" i="107"/>
  <c r="F47" i="107"/>
  <c r="G52" i="107"/>
  <c r="H52" i="107" s="1"/>
  <c r="G54" i="107"/>
  <c r="H54" i="107" s="1"/>
  <c r="G57" i="107"/>
  <c r="H57" i="107" s="1"/>
  <c r="G59" i="107"/>
  <c r="H59" i="107" s="1"/>
  <c r="C7" i="106"/>
  <c r="E13" i="106"/>
  <c r="E17" i="106"/>
  <c r="E21" i="106" s="1"/>
  <c r="G20" i="106"/>
  <c r="G21" i="106" s="1"/>
  <c r="E24" i="106"/>
  <c r="G24" i="106"/>
  <c r="H29" i="106"/>
  <c r="H31" i="106"/>
  <c r="D42" i="106"/>
  <c r="F42" i="106"/>
  <c r="D43" i="106"/>
  <c r="F43" i="106"/>
  <c r="D45" i="106"/>
  <c r="F45" i="106"/>
  <c r="E47" i="106"/>
  <c r="G51" i="106"/>
  <c r="H51" i="106" s="1"/>
  <c r="G53" i="106"/>
  <c r="H53" i="106" s="1"/>
  <c r="G56" i="106"/>
  <c r="H56" i="106" s="1"/>
  <c r="G58" i="106"/>
  <c r="H58" i="106" s="1"/>
  <c r="H63" i="106"/>
  <c r="C6" i="107"/>
  <c r="C8" i="107"/>
  <c r="G13" i="107"/>
  <c r="D16" i="107"/>
  <c r="E17" i="107"/>
  <c r="E21" i="107" s="1"/>
  <c r="F19" i="107"/>
  <c r="H19" i="107" s="1"/>
  <c r="E24" i="107"/>
  <c r="G24" i="107"/>
  <c r="H29" i="107"/>
  <c r="H31" i="107"/>
  <c r="D42" i="107"/>
  <c r="F42" i="107"/>
  <c r="D43" i="107"/>
  <c r="F43" i="107"/>
  <c r="D45" i="107"/>
  <c r="F45" i="107"/>
  <c r="E47" i="107"/>
  <c r="G51" i="107"/>
  <c r="H51" i="107" s="1"/>
  <c r="G53" i="107"/>
  <c r="H53" i="107" s="1"/>
  <c r="G56" i="107"/>
  <c r="H56" i="107" s="1"/>
  <c r="G58" i="107"/>
  <c r="H58" i="107" s="1"/>
  <c r="H63" i="107"/>
  <c r="C17" i="92" l="1"/>
  <c r="D24" i="88"/>
  <c r="D16" i="88"/>
  <c r="G20" i="88"/>
  <c r="F42" i="88"/>
  <c r="C29" i="92"/>
  <c r="G45" i="88"/>
  <c r="F24" i="88"/>
  <c r="E43" i="88"/>
  <c r="G57" i="88"/>
  <c r="G54" i="88"/>
  <c r="F43" i="88"/>
  <c r="D42" i="88"/>
  <c r="D47" i="88"/>
  <c r="F47" i="88"/>
  <c r="D43" i="88"/>
  <c r="G58" i="88"/>
  <c r="D38" i="88"/>
  <c r="F45" i="88"/>
  <c r="G53" i="88"/>
  <c r="G56" i="88"/>
  <c r="D45" i="88"/>
  <c r="E17" i="88"/>
  <c r="G24" i="88"/>
  <c r="G42" i="88"/>
  <c r="E47" i="88"/>
  <c r="G52" i="88"/>
  <c r="E24" i="88"/>
  <c r="G43" i="88"/>
  <c r="G51" i="88"/>
  <c r="F19" i="88"/>
  <c r="F18" i="88"/>
  <c r="H63" i="88"/>
  <c r="H30" i="88"/>
  <c r="H31" i="88"/>
  <c r="E42" i="88"/>
  <c r="E45" i="88"/>
  <c r="G59" i="88"/>
  <c r="H28" i="88"/>
  <c r="H29" i="88"/>
  <c r="H16" i="34"/>
  <c r="H54" i="34"/>
  <c r="H54" i="88" s="1"/>
  <c r="H58" i="34"/>
  <c r="H58" i="88" s="1"/>
  <c r="C14" i="92" s="1"/>
  <c r="H56" i="34"/>
  <c r="H56" i="88" s="1"/>
  <c r="H18" i="34"/>
  <c r="H19" i="34"/>
  <c r="G21" i="34"/>
  <c r="G25" i="34" s="1"/>
  <c r="H57" i="34"/>
  <c r="H57" i="88" s="1"/>
  <c r="H37" i="108"/>
  <c r="H53" i="34"/>
  <c r="H53" i="88" s="1"/>
  <c r="H52" i="34"/>
  <c r="H52" i="88" s="1"/>
  <c r="C7" i="92" s="1"/>
  <c r="F40" i="108"/>
  <c r="F41" i="108" s="1"/>
  <c r="F44" i="108" s="1"/>
  <c r="F46" i="108" s="1"/>
  <c r="F48" i="108" s="1"/>
  <c r="F62" i="108" s="1"/>
  <c r="F36" i="108"/>
  <c r="H38" i="34"/>
  <c r="H38" i="88" s="1"/>
  <c r="E40" i="108"/>
  <c r="E41" i="108" s="1"/>
  <c r="E44" i="108" s="1"/>
  <c r="E46" i="108" s="1"/>
  <c r="E48" i="108" s="1"/>
  <c r="E62" i="108" s="1"/>
  <c r="E36" i="108"/>
  <c r="H59" i="34"/>
  <c r="E21" i="34"/>
  <c r="H35" i="108"/>
  <c r="D40" i="108"/>
  <c r="D36" i="108"/>
  <c r="G32" i="92"/>
  <c r="H47" i="26"/>
  <c r="H43" i="104"/>
  <c r="H17" i="19"/>
  <c r="H20" i="104"/>
  <c r="F21" i="104"/>
  <c r="F25" i="104" s="1"/>
  <c r="F37" i="104" s="1"/>
  <c r="H43" i="18"/>
  <c r="H18" i="104"/>
  <c r="H45" i="4"/>
  <c r="H45" i="104"/>
  <c r="E25" i="104"/>
  <c r="E37" i="104" s="1"/>
  <c r="E25" i="19"/>
  <c r="E37" i="19" s="1"/>
  <c r="H20" i="31"/>
  <c r="H16" i="104"/>
  <c r="H24" i="4"/>
  <c r="H43" i="17"/>
  <c r="D25" i="32"/>
  <c r="D35" i="32" s="1"/>
  <c r="H20" i="34"/>
  <c r="F21" i="106"/>
  <c r="F25" i="106" s="1"/>
  <c r="F37" i="106" s="1"/>
  <c r="H45" i="27"/>
  <c r="H45" i="32"/>
  <c r="H47" i="6"/>
  <c r="H47" i="31"/>
  <c r="H24" i="104"/>
  <c r="H17" i="104"/>
  <c r="H45" i="20"/>
  <c r="F21" i="34"/>
  <c r="H42" i="104"/>
  <c r="H47" i="17"/>
  <c r="H45" i="31"/>
  <c r="H45" i="21"/>
  <c r="H32" i="34"/>
  <c r="H32" i="26"/>
  <c r="D39" i="26" s="1"/>
  <c r="H39" i="26" s="1"/>
  <c r="H43" i="31"/>
  <c r="H42" i="26"/>
  <c r="H43" i="20"/>
  <c r="H43" i="26"/>
  <c r="H42" i="25"/>
  <c r="H32" i="18"/>
  <c r="D39" i="18" s="1"/>
  <c r="H39" i="18" s="1"/>
  <c r="H47" i="21"/>
  <c r="H47" i="19"/>
  <c r="H47" i="34"/>
  <c r="G25" i="25"/>
  <c r="D25" i="104"/>
  <c r="D37" i="104" s="1"/>
  <c r="H47" i="104"/>
  <c r="H45" i="18"/>
  <c r="H24" i="34"/>
  <c r="H24" i="28"/>
  <c r="H47" i="24"/>
  <c r="H47" i="18"/>
  <c r="G25" i="104"/>
  <c r="H45" i="25"/>
  <c r="H42" i="28"/>
  <c r="H42" i="27"/>
  <c r="H47" i="20"/>
  <c r="G25" i="31"/>
  <c r="H20" i="25"/>
  <c r="H32" i="17"/>
  <c r="D39" i="17" s="1"/>
  <c r="H39" i="17" s="1"/>
  <c r="H16" i="32"/>
  <c r="H47" i="27"/>
  <c r="H24" i="31"/>
  <c r="F21" i="31"/>
  <c r="F25" i="31" s="1"/>
  <c r="F37" i="31" s="1"/>
  <c r="H32" i="104"/>
  <c r="D39" i="104" s="1"/>
  <c r="H39" i="104" s="1"/>
  <c r="G60" i="31"/>
  <c r="G21" i="22"/>
  <c r="G25" i="22" s="1"/>
  <c r="H20" i="22"/>
  <c r="E21" i="20"/>
  <c r="E25" i="20" s="1"/>
  <c r="E37" i="20" s="1"/>
  <c r="H17" i="20"/>
  <c r="H51" i="4"/>
  <c r="H60" i="4" s="1"/>
  <c r="G60" i="4"/>
  <c r="H42" i="22"/>
  <c r="G21" i="19"/>
  <c r="G25" i="19" s="1"/>
  <c r="H20" i="19"/>
  <c r="H45" i="24"/>
  <c r="H32" i="22"/>
  <c r="H43" i="28"/>
  <c r="H32" i="4"/>
  <c r="D39" i="4" s="1"/>
  <c r="H39" i="4" s="1"/>
  <c r="H42" i="21"/>
  <c r="E21" i="18"/>
  <c r="E25" i="18" s="1"/>
  <c r="E37" i="18" s="1"/>
  <c r="H17" i="18"/>
  <c r="H32" i="32"/>
  <c r="D39" i="32" s="1"/>
  <c r="H39" i="32" s="1"/>
  <c r="G21" i="26"/>
  <c r="G25" i="26" s="1"/>
  <c r="H20" i="26"/>
  <c r="D21" i="4"/>
  <c r="H16" i="4"/>
  <c r="D21" i="17"/>
  <c r="H16" i="17"/>
  <c r="D21" i="34"/>
  <c r="D21" i="19"/>
  <c r="H16" i="19"/>
  <c r="H47" i="28"/>
  <c r="H32" i="6"/>
  <c r="D39" i="6" s="1"/>
  <c r="H39" i="6" s="1"/>
  <c r="H42" i="24"/>
  <c r="H18" i="25"/>
  <c r="F21" i="25"/>
  <c r="H51" i="18"/>
  <c r="H60" i="18" s="1"/>
  <c r="G60" i="18"/>
  <c r="H18" i="26"/>
  <c r="F21" i="26"/>
  <c r="F25" i="26" s="1"/>
  <c r="F37" i="26" s="1"/>
  <c r="G21" i="6"/>
  <c r="G25" i="6" s="1"/>
  <c r="H20" i="6"/>
  <c r="D21" i="28"/>
  <c r="H16" i="28"/>
  <c r="H42" i="6"/>
  <c r="H24" i="32"/>
  <c r="G21" i="21"/>
  <c r="G25" i="21" s="1"/>
  <c r="H20" i="21"/>
  <c r="H45" i="22"/>
  <c r="D21" i="21"/>
  <c r="H16" i="21"/>
  <c r="E21" i="24"/>
  <c r="E25" i="24" s="1"/>
  <c r="E37" i="24" s="1"/>
  <c r="H17" i="24"/>
  <c r="H51" i="32"/>
  <c r="H60" i="32" s="1"/>
  <c r="G60" i="32"/>
  <c r="D21" i="20"/>
  <c r="H16" i="20"/>
  <c r="D21" i="22"/>
  <c r="H16" i="22"/>
  <c r="H51" i="6"/>
  <c r="H60" i="6" s="1"/>
  <c r="G60" i="6"/>
  <c r="H24" i="22"/>
  <c r="H18" i="28"/>
  <c r="F21" i="28"/>
  <c r="F25" i="28" s="1"/>
  <c r="F37" i="28" s="1"/>
  <c r="H42" i="32"/>
  <c r="H51" i="19"/>
  <c r="H60" i="19" s="1"/>
  <c r="G60" i="19"/>
  <c r="E21" i="28"/>
  <c r="E25" i="28" s="1"/>
  <c r="E37" i="28" s="1"/>
  <c r="H17" i="28"/>
  <c r="H18" i="19"/>
  <c r="F21" i="19"/>
  <c r="F25" i="19" s="1"/>
  <c r="F37" i="19" s="1"/>
  <c r="H32" i="25"/>
  <c r="D39" i="25" s="1"/>
  <c r="H39" i="25" s="1"/>
  <c r="E21" i="32"/>
  <c r="H17" i="32"/>
  <c r="H42" i="31"/>
  <c r="H24" i="21"/>
  <c r="E21" i="27"/>
  <c r="E25" i="27" s="1"/>
  <c r="E37" i="27" s="1"/>
  <c r="H17" i="27"/>
  <c r="G21" i="17"/>
  <c r="G25" i="17" s="1"/>
  <c r="G35" i="17" s="1"/>
  <c r="H20" i="17"/>
  <c r="H18" i="6"/>
  <c r="F21" i="6"/>
  <c r="F25" i="6" s="1"/>
  <c r="F37" i="6" s="1"/>
  <c r="F21" i="22"/>
  <c r="F25" i="22" s="1"/>
  <c r="F37" i="22" s="1"/>
  <c r="H18" i="22"/>
  <c r="H18" i="18"/>
  <c r="F21" i="18"/>
  <c r="F25" i="18" s="1"/>
  <c r="F37" i="18" s="1"/>
  <c r="H51" i="25"/>
  <c r="H60" i="25" s="1"/>
  <c r="G60" i="25"/>
  <c r="H43" i="6"/>
  <c r="H51" i="27"/>
  <c r="H60" i="27" s="1"/>
  <c r="G60" i="27"/>
  <c r="H51" i="21"/>
  <c r="H60" i="21" s="1"/>
  <c r="G60" i="21"/>
  <c r="G60" i="104"/>
  <c r="H24" i="26"/>
  <c r="G21" i="18"/>
  <c r="G25" i="18" s="1"/>
  <c r="H20" i="18"/>
  <c r="F21" i="4"/>
  <c r="F25" i="4" s="1"/>
  <c r="F37" i="4" s="1"/>
  <c r="H18" i="4"/>
  <c r="H51" i="34"/>
  <c r="G60" i="34"/>
  <c r="H45" i="6"/>
  <c r="H17" i="34"/>
  <c r="H24" i="27"/>
  <c r="H32" i="27"/>
  <c r="D39" i="27" s="1"/>
  <c r="H39" i="27" s="1"/>
  <c r="H51" i="28"/>
  <c r="H60" i="28" s="1"/>
  <c r="G60" i="28"/>
  <c r="H18" i="17"/>
  <c r="F21" i="17"/>
  <c r="F25" i="17" s="1"/>
  <c r="F37" i="17" s="1"/>
  <c r="H24" i="6"/>
  <c r="H45" i="26"/>
  <c r="H32" i="20"/>
  <c r="H24" i="25"/>
  <c r="H32" i="21"/>
  <c r="H43" i="24"/>
  <c r="H43" i="27"/>
  <c r="H43" i="32"/>
  <c r="H42" i="4"/>
  <c r="E21" i="22"/>
  <c r="E25" i="22" s="1"/>
  <c r="E37" i="22" s="1"/>
  <c r="H17" i="22"/>
  <c r="G21" i="28"/>
  <c r="G25" i="28" s="1"/>
  <c r="H20" i="28"/>
  <c r="H47" i="22"/>
  <c r="H47" i="25"/>
  <c r="H47" i="4"/>
  <c r="H32" i="24"/>
  <c r="D39" i="24" s="1"/>
  <c r="H39" i="24" s="1"/>
  <c r="E21" i="31"/>
  <c r="E25" i="31" s="1"/>
  <c r="E35" i="31" s="1"/>
  <c r="E40" i="31" s="1"/>
  <c r="H17" i="31"/>
  <c r="E21" i="4"/>
  <c r="E25" i="4" s="1"/>
  <c r="E37" i="4" s="1"/>
  <c r="H17" i="4"/>
  <c r="E21" i="25"/>
  <c r="E25" i="25" s="1"/>
  <c r="E37" i="25" s="1"/>
  <c r="H17" i="25"/>
  <c r="D21" i="6"/>
  <c r="H16" i="6"/>
  <c r="G21" i="27"/>
  <c r="G25" i="27" s="1"/>
  <c r="H20" i="27"/>
  <c r="G21" i="20"/>
  <c r="G25" i="20" s="1"/>
  <c r="H20" i="20"/>
  <c r="D21" i="24"/>
  <c r="H16" i="24"/>
  <c r="H43" i="21"/>
  <c r="H42" i="18"/>
  <c r="E21" i="6"/>
  <c r="E25" i="6" s="1"/>
  <c r="E37" i="6" s="1"/>
  <c r="H17" i="6"/>
  <c r="H51" i="17"/>
  <c r="H60" i="17" s="1"/>
  <c r="G60" i="17"/>
  <c r="H24" i="20"/>
  <c r="E21" i="26"/>
  <c r="E25" i="26" s="1"/>
  <c r="H17" i="26"/>
  <c r="H42" i="17"/>
  <c r="H42" i="34"/>
  <c r="D21" i="18"/>
  <c r="H16" i="18"/>
  <c r="H24" i="24"/>
  <c r="G21" i="32"/>
  <c r="G25" i="32" s="1"/>
  <c r="G35" i="32" s="1"/>
  <c r="G40" i="32" s="1"/>
  <c r="H20" i="32"/>
  <c r="H47" i="32"/>
  <c r="H32" i="28"/>
  <c r="D39" i="28" s="1"/>
  <c r="H39" i="28" s="1"/>
  <c r="H18" i="20"/>
  <c r="F21" i="20"/>
  <c r="F25" i="20" s="1"/>
  <c r="F37" i="20" s="1"/>
  <c r="H51" i="24"/>
  <c r="H60" i="24" s="1"/>
  <c r="G60" i="24"/>
  <c r="F21" i="21"/>
  <c r="F25" i="21" s="1"/>
  <c r="F37" i="21" s="1"/>
  <c r="H18" i="21"/>
  <c r="E21" i="17"/>
  <c r="E25" i="17" s="1"/>
  <c r="H17" i="17"/>
  <c r="D21" i="25"/>
  <c r="D25" i="25" s="1"/>
  <c r="D37" i="25" s="1"/>
  <c r="H16" i="25"/>
  <c r="D21" i="27"/>
  <c r="H16" i="27"/>
  <c r="H43" i="34"/>
  <c r="H45" i="28"/>
  <c r="F21" i="24"/>
  <c r="F25" i="24" s="1"/>
  <c r="F37" i="24" s="1"/>
  <c r="H18" i="24"/>
  <c r="H60" i="31"/>
  <c r="H45" i="19"/>
  <c r="H47" i="107"/>
  <c r="H18" i="27"/>
  <c r="F21" i="27"/>
  <c r="F25" i="27" s="1"/>
  <c r="F37" i="27" s="1"/>
  <c r="G21" i="4"/>
  <c r="G25" i="4" s="1"/>
  <c r="H20" i="4"/>
  <c r="H45" i="17"/>
  <c r="H24" i="18"/>
  <c r="H32" i="19"/>
  <c r="D21" i="26"/>
  <c r="H16" i="26"/>
  <c r="H51" i="22"/>
  <c r="H60" i="22" s="1"/>
  <c r="G60" i="22"/>
  <c r="H43" i="22"/>
  <c r="H43" i="25"/>
  <c r="H43" i="4"/>
  <c r="H42" i="20"/>
  <c r="G21" i="24"/>
  <c r="G25" i="24" s="1"/>
  <c r="H20" i="24"/>
  <c r="D21" i="31"/>
  <c r="H16" i="31"/>
  <c r="H51" i="20"/>
  <c r="H60" i="20" s="1"/>
  <c r="G60" i="20"/>
  <c r="H51" i="26"/>
  <c r="H60" i="26" s="1"/>
  <c r="G60" i="26"/>
  <c r="F21" i="32"/>
  <c r="F25" i="32" s="1"/>
  <c r="H18" i="32"/>
  <c r="E21" i="21"/>
  <c r="E25" i="21" s="1"/>
  <c r="E37" i="21" s="1"/>
  <c r="H17" i="21"/>
  <c r="H43" i="19"/>
  <c r="H42" i="19"/>
  <c r="H24" i="17"/>
  <c r="H32" i="31"/>
  <c r="H24" i="19"/>
  <c r="H45" i="34"/>
  <c r="D25" i="106"/>
  <c r="D37" i="106" s="1"/>
  <c r="H60" i="106"/>
  <c r="H17" i="106"/>
  <c r="H42" i="106"/>
  <c r="H60" i="107"/>
  <c r="H17" i="107"/>
  <c r="H45" i="107"/>
  <c r="H45" i="106"/>
  <c r="H19" i="106"/>
  <c r="H43" i="106"/>
  <c r="H20" i="106"/>
  <c r="H16" i="106"/>
  <c r="F21" i="107"/>
  <c r="F25" i="107" s="1"/>
  <c r="F37" i="107" s="1"/>
  <c r="H43" i="107"/>
  <c r="H42" i="107"/>
  <c r="D21" i="107"/>
  <c r="H16" i="107"/>
  <c r="H60" i="104"/>
  <c r="G60" i="107"/>
  <c r="G60" i="106"/>
  <c r="G25" i="106"/>
  <c r="H32" i="107"/>
  <c r="H24" i="107"/>
  <c r="H47" i="106"/>
  <c r="G21" i="107"/>
  <c r="G25" i="107" s="1"/>
  <c r="H20" i="107"/>
  <c r="E25" i="107"/>
  <c r="E37" i="107" s="1"/>
  <c r="E25" i="106"/>
  <c r="E37" i="106" s="1"/>
  <c r="H32" i="106"/>
  <c r="H24" i="106"/>
  <c r="H19" i="88" l="1"/>
  <c r="H42" i="88"/>
  <c r="H42" i="92" s="1"/>
  <c r="G25" i="88"/>
  <c r="H17" i="88"/>
  <c r="D21" i="88"/>
  <c r="H45" i="88"/>
  <c r="E25" i="34"/>
  <c r="E37" i="34" s="1"/>
  <c r="E21" i="88"/>
  <c r="H20" i="88"/>
  <c r="G60" i="88"/>
  <c r="H32" i="88"/>
  <c r="H18" i="88"/>
  <c r="H51" i="88"/>
  <c r="C6" i="92" s="1"/>
  <c r="H24" i="88"/>
  <c r="H43" i="88"/>
  <c r="H59" i="88"/>
  <c r="C8" i="92" s="1"/>
  <c r="H16" i="88"/>
  <c r="H47" i="88"/>
  <c r="G21" i="88"/>
  <c r="F21" i="88"/>
  <c r="H36" i="108"/>
  <c r="H21" i="104"/>
  <c r="H25" i="104" s="1"/>
  <c r="D39" i="34"/>
  <c r="F25" i="34"/>
  <c r="H60" i="34"/>
  <c r="H60" i="88" s="1"/>
  <c r="D41" i="108"/>
  <c r="H40" i="108"/>
  <c r="G40" i="17"/>
  <c r="G41" i="17" s="1"/>
  <c r="G44" i="17" s="1"/>
  <c r="G46" i="17" s="1"/>
  <c r="G48" i="17" s="1"/>
  <c r="G62" i="17" s="1"/>
  <c r="G35" i="6"/>
  <c r="G40" i="6" s="1"/>
  <c r="G41" i="6" s="1"/>
  <c r="G44" i="6" s="1"/>
  <c r="G46" i="6" s="1"/>
  <c r="G48" i="6" s="1"/>
  <c r="G62" i="6" s="1"/>
  <c r="D37" i="32"/>
  <c r="H21" i="106"/>
  <c r="H25" i="106" s="1"/>
  <c r="E36" i="31"/>
  <c r="E37" i="31" s="1"/>
  <c r="G35" i="104"/>
  <c r="G36" i="104" s="1"/>
  <c r="H21" i="34"/>
  <c r="E35" i="25"/>
  <c r="E40" i="25" s="1"/>
  <c r="E41" i="25" s="1"/>
  <c r="E44" i="25" s="1"/>
  <c r="E46" i="25" s="1"/>
  <c r="E48" i="25" s="1"/>
  <c r="E62" i="25" s="1"/>
  <c r="E41" i="31"/>
  <c r="E44" i="31" s="1"/>
  <c r="E46" i="31" s="1"/>
  <c r="E48" i="31" s="1"/>
  <c r="E62" i="31" s="1"/>
  <c r="E35" i="106"/>
  <c r="E40" i="106" s="1"/>
  <c r="E41" i="106" s="1"/>
  <c r="E44" i="106" s="1"/>
  <c r="D35" i="104"/>
  <c r="D36" i="104" s="1"/>
  <c r="F35" i="104"/>
  <c r="G35" i="19"/>
  <c r="G36" i="19" s="1"/>
  <c r="G37" i="19" s="1"/>
  <c r="G35" i="4"/>
  <c r="G40" i="4" s="1"/>
  <c r="G41" i="4" s="1"/>
  <c r="G44" i="4" s="1"/>
  <c r="G46" i="4" s="1"/>
  <c r="E35" i="104"/>
  <c r="E36" i="104" s="1"/>
  <c r="G35" i="22"/>
  <c r="G40" i="22" s="1"/>
  <c r="G35" i="20"/>
  <c r="G40" i="20" s="1"/>
  <c r="G41" i="20" s="1"/>
  <c r="G44" i="20" s="1"/>
  <c r="G46" i="20" s="1"/>
  <c r="G48" i="20" s="1"/>
  <c r="G62" i="20" s="1"/>
  <c r="G35" i="21"/>
  <c r="G36" i="21" s="1"/>
  <c r="D35" i="106"/>
  <c r="D36" i="106" s="1"/>
  <c r="D35" i="25"/>
  <c r="D36" i="25" s="1"/>
  <c r="G35" i="18"/>
  <c r="G40" i="18" s="1"/>
  <c r="G41" i="18" s="1"/>
  <c r="G44" i="18" s="1"/>
  <c r="G46" i="18" s="1"/>
  <c r="G48" i="18" s="1"/>
  <c r="G62" i="18" s="1"/>
  <c r="G36" i="32"/>
  <c r="D40" i="32"/>
  <c r="D41" i="32" s="1"/>
  <c r="D25" i="34"/>
  <c r="F35" i="25"/>
  <c r="F40" i="25" s="1"/>
  <c r="F41" i="25" s="1"/>
  <c r="F44" i="25" s="1"/>
  <c r="F46" i="25" s="1"/>
  <c r="F48" i="25" s="1"/>
  <c r="F62" i="25" s="1"/>
  <c r="G35" i="24"/>
  <c r="G36" i="24" s="1"/>
  <c r="G37" i="24" s="1"/>
  <c r="G37" i="22"/>
  <c r="D36" i="32"/>
  <c r="H21" i="6"/>
  <c r="H25" i="6" s="1"/>
  <c r="D25" i="6"/>
  <c r="G37" i="26"/>
  <c r="G35" i="26"/>
  <c r="H21" i="31"/>
  <c r="H25" i="31" s="1"/>
  <c r="D25" i="31"/>
  <c r="D25" i="24"/>
  <c r="H21" i="24"/>
  <c r="H25" i="24" s="1"/>
  <c r="D25" i="22"/>
  <c r="H21" i="22"/>
  <c r="H25" i="22" s="1"/>
  <c r="H21" i="25"/>
  <c r="H25" i="25" s="1"/>
  <c r="F25" i="25"/>
  <c r="F37" i="25" s="1"/>
  <c r="G35" i="25"/>
  <c r="G40" i="25" s="1"/>
  <c r="G41" i="25" s="1"/>
  <c r="G44" i="25" s="1"/>
  <c r="G46" i="25" s="1"/>
  <c r="F35" i="106"/>
  <c r="F36" i="106" s="1"/>
  <c r="F35" i="17"/>
  <c r="F40" i="17" s="1"/>
  <c r="F41" i="17" s="1"/>
  <c r="F44" i="17" s="1"/>
  <c r="F46" i="17" s="1"/>
  <c r="F48" i="17" s="1"/>
  <c r="F62" i="17" s="1"/>
  <c r="D39" i="31"/>
  <c r="H39" i="31" s="1"/>
  <c r="G35" i="31"/>
  <c r="D39" i="19"/>
  <c r="H39" i="19" s="1"/>
  <c r="G35" i="28"/>
  <c r="D25" i="17"/>
  <c r="H21" i="17"/>
  <c r="H25" i="17" s="1"/>
  <c r="F37" i="32"/>
  <c r="F35" i="32"/>
  <c r="E37" i="17"/>
  <c r="E35" i="17"/>
  <c r="D39" i="21"/>
  <c r="H39" i="21" s="1"/>
  <c r="D25" i="20"/>
  <c r="H21" i="20"/>
  <c r="H25" i="20" s="1"/>
  <c r="D25" i="21"/>
  <c r="H21" i="21"/>
  <c r="H25" i="21" s="1"/>
  <c r="C40" i="92"/>
  <c r="C43" i="92" s="1"/>
  <c r="D39" i="20"/>
  <c r="H39" i="20" s="1"/>
  <c r="D25" i="18"/>
  <c r="H21" i="18"/>
  <c r="H25" i="18" s="1"/>
  <c r="E25" i="32"/>
  <c r="H21" i="32"/>
  <c r="H25" i="32" s="1"/>
  <c r="H21" i="28"/>
  <c r="H25" i="28" s="1"/>
  <c r="D25" i="28"/>
  <c r="G37" i="27"/>
  <c r="G35" i="27"/>
  <c r="H21" i="4"/>
  <c r="H25" i="4" s="1"/>
  <c r="D25" i="4"/>
  <c r="H21" i="26"/>
  <c r="H25" i="26" s="1"/>
  <c r="D25" i="26"/>
  <c r="D25" i="27"/>
  <c r="H21" i="27"/>
  <c r="H25" i="27" s="1"/>
  <c r="D25" i="19"/>
  <c r="H21" i="19"/>
  <c r="H25" i="19" s="1"/>
  <c r="D39" i="22"/>
  <c r="H39" i="22" s="1"/>
  <c r="G35" i="107"/>
  <c r="G40" i="107" s="1"/>
  <c r="G41" i="107" s="1"/>
  <c r="G44" i="107" s="1"/>
  <c r="G37" i="107"/>
  <c r="G35" i="106"/>
  <c r="G40" i="106" s="1"/>
  <c r="G41" i="106" s="1"/>
  <c r="G44" i="106" s="1"/>
  <c r="D39" i="106"/>
  <c r="H39" i="106" s="1"/>
  <c r="D39" i="107"/>
  <c r="H39" i="107" s="1"/>
  <c r="D25" i="107"/>
  <c r="H21" i="107"/>
  <c r="H25" i="107" s="1"/>
  <c r="G35" i="34"/>
  <c r="G37" i="34"/>
  <c r="G41" i="32"/>
  <c r="G37" i="32"/>
  <c r="F25" i="88" l="1"/>
  <c r="D39" i="88"/>
  <c r="D25" i="88"/>
  <c r="G35" i="88"/>
  <c r="H21" i="88"/>
  <c r="E25" i="88"/>
  <c r="H39" i="34"/>
  <c r="H39" i="88" s="1"/>
  <c r="F35" i="34"/>
  <c r="F36" i="34" s="1"/>
  <c r="D44" i="108"/>
  <c r="H41" i="108"/>
  <c r="F37" i="34"/>
  <c r="F37" i="88" s="1"/>
  <c r="H25" i="34"/>
  <c r="H25" i="88" s="1"/>
  <c r="G36" i="17"/>
  <c r="G37" i="17" s="1"/>
  <c r="G36" i="6"/>
  <c r="G37" i="6" s="1"/>
  <c r="G36" i="22"/>
  <c r="G40" i="21"/>
  <c r="G41" i="21" s="1"/>
  <c r="E36" i="106"/>
  <c r="G40" i="104"/>
  <c r="G41" i="104" s="1"/>
  <c r="E36" i="25"/>
  <c r="D40" i="104"/>
  <c r="D41" i="104" s="1"/>
  <c r="D44" i="104" s="1"/>
  <c r="D46" i="104" s="1"/>
  <c r="G40" i="19"/>
  <c r="G41" i="19" s="1"/>
  <c r="G44" i="19" s="1"/>
  <c r="G46" i="19" s="1"/>
  <c r="G48" i="19" s="1"/>
  <c r="G62" i="19" s="1"/>
  <c r="G36" i="20"/>
  <c r="G37" i="20" s="1"/>
  <c r="F36" i="25"/>
  <c r="G48" i="4"/>
  <c r="G62" i="4" s="1"/>
  <c r="H35" i="25"/>
  <c r="G36" i="4"/>
  <c r="G37" i="4" s="1"/>
  <c r="H35" i="104"/>
  <c r="E40" i="104"/>
  <c r="E41" i="104" s="1"/>
  <c r="E44" i="104" s="1"/>
  <c r="E46" i="104" s="1"/>
  <c r="E48" i="104" s="1"/>
  <c r="E62" i="104" s="1"/>
  <c r="F36" i="17"/>
  <c r="G36" i="18"/>
  <c r="G37" i="18" s="1"/>
  <c r="F40" i="104"/>
  <c r="F41" i="104" s="1"/>
  <c r="F44" i="104" s="1"/>
  <c r="F46" i="104" s="1"/>
  <c r="F48" i="104" s="1"/>
  <c r="F62" i="104" s="1"/>
  <c r="F36" i="104"/>
  <c r="H36" i="104" s="1"/>
  <c r="F40" i="106"/>
  <c r="F41" i="106" s="1"/>
  <c r="F44" i="106" s="1"/>
  <c r="F46" i="106" s="1"/>
  <c r="F48" i="106" s="1"/>
  <c r="F62" i="106" s="1"/>
  <c r="D40" i="25"/>
  <c r="D41" i="25" s="1"/>
  <c r="D44" i="25" s="1"/>
  <c r="H44" i="25" s="1"/>
  <c r="G48" i="25"/>
  <c r="G62" i="25" s="1"/>
  <c r="D35" i="34"/>
  <c r="G36" i="25"/>
  <c r="G37" i="25" s="1"/>
  <c r="H37" i="25" s="1"/>
  <c r="E35" i="34"/>
  <c r="D37" i="34"/>
  <c r="G40" i="24"/>
  <c r="G41" i="24" s="1"/>
  <c r="G44" i="24" s="1"/>
  <c r="G46" i="24" s="1"/>
  <c r="G48" i="24" s="1"/>
  <c r="G62" i="24" s="1"/>
  <c r="E40" i="17"/>
  <c r="E41" i="17" s="1"/>
  <c r="E44" i="17" s="1"/>
  <c r="E46" i="17" s="1"/>
  <c r="E48" i="17" s="1"/>
  <c r="E62" i="17" s="1"/>
  <c r="E36" i="17"/>
  <c r="D35" i="6"/>
  <c r="D37" i="6"/>
  <c r="E35" i="6"/>
  <c r="F35" i="6"/>
  <c r="G40" i="27"/>
  <c r="G41" i="27" s="1"/>
  <c r="G44" i="27" s="1"/>
  <c r="G46" i="27" s="1"/>
  <c r="G48" i="27" s="1"/>
  <c r="G62" i="27" s="1"/>
  <c r="G36" i="27"/>
  <c r="F36" i="32"/>
  <c r="F40" i="32"/>
  <c r="F41" i="32" s="1"/>
  <c r="F44" i="32" s="1"/>
  <c r="D35" i="17"/>
  <c r="D37" i="17"/>
  <c r="E37" i="32"/>
  <c r="H37" i="32" s="1"/>
  <c r="E35" i="32"/>
  <c r="G36" i="28"/>
  <c r="G37" i="28" s="1"/>
  <c r="G40" i="28"/>
  <c r="G41" i="28" s="1"/>
  <c r="G44" i="28" s="1"/>
  <c r="G46" i="28" s="1"/>
  <c r="G48" i="28" s="1"/>
  <c r="G62" i="28" s="1"/>
  <c r="D40" i="106"/>
  <c r="D41" i="106" s="1"/>
  <c r="E35" i="19"/>
  <c r="D35" i="19"/>
  <c r="D37" i="19"/>
  <c r="H37" i="19" s="1"/>
  <c r="F35" i="19"/>
  <c r="E35" i="26"/>
  <c r="D37" i="26"/>
  <c r="F35" i="26"/>
  <c r="D35" i="26"/>
  <c r="D35" i="21"/>
  <c r="E35" i="21"/>
  <c r="F35" i="21"/>
  <c r="D37" i="31"/>
  <c r="F35" i="31"/>
  <c r="D35" i="31"/>
  <c r="G40" i="31"/>
  <c r="G41" i="31" s="1"/>
  <c r="G44" i="31" s="1"/>
  <c r="G46" i="31" s="1"/>
  <c r="G48" i="31" s="1"/>
  <c r="G62" i="31" s="1"/>
  <c r="G36" i="31"/>
  <c r="G37" i="31" s="1"/>
  <c r="H35" i="106"/>
  <c r="D37" i="28"/>
  <c r="D35" i="28"/>
  <c r="F35" i="28"/>
  <c r="E35" i="28"/>
  <c r="G40" i="26"/>
  <c r="G41" i="26" s="1"/>
  <c r="G44" i="26" s="1"/>
  <c r="G46" i="26" s="1"/>
  <c r="G48" i="26" s="1"/>
  <c r="G62" i="26" s="1"/>
  <c r="G36" i="26"/>
  <c r="E35" i="22"/>
  <c r="D35" i="22"/>
  <c r="F35" i="22"/>
  <c r="D35" i="18"/>
  <c r="D37" i="18"/>
  <c r="F35" i="18"/>
  <c r="E35" i="18"/>
  <c r="D35" i="24"/>
  <c r="D37" i="24"/>
  <c r="H37" i="24" s="1"/>
  <c r="E35" i="24"/>
  <c r="F35" i="24"/>
  <c r="D35" i="27"/>
  <c r="E35" i="27"/>
  <c r="D37" i="27"/>
  <c r="H37" i="27" s="1"/>
  <c r="F35" i="27"/>
  <c r="D37" i="4"/>
  <c r="F35" i="4"/>
  <c r="D35" i="4"/>
  <c r="E35" i="4"/>
  <c r="F35" i="20"/>
  <c r="D35" i="20"/>
  <c r="D37" i="20"/>
  <c r="E35" i="20"/>
  <c r="G36" i="107"/>
  <c r="G36" i="106"/>
  <c r="G37" i="106" s="1"/>
  <c r="H37" i="106" s="1"/>
  <c r="F35" i="107"/>
  <c r="E35" i="107"/>
  <c r="D37" i="107"/>
  <c r="H37" i="107" s="1"/>
  <c r="D35" i="107"/>
  <c r="G46" i="106"/>
  <c r="G48" i="106" s="1"/>
  <c r="G62" i="106" s="1"/>
  <c r="G46" i="107"/>
  <c r="G48" i="107" s="1"/>
  <c r="G62" i="107" s="1"/>
  <c r="E46" i="106"/>
  <c r="E48" i="106" s="1"/>
  <c r="E62" i="106" s="1"/>
  <c r="G40" i="34"/>
  <c r="G36" i="34"/>
  <c r="G37" i="21"/>
  <c r="G41" i="22"/>
  <c r="G37" i="104"/>
  <c r="H37" i="104" s="1"/>
  <c r="D44" i="32"/>
  <c r="G44" i="32"/>
  <c r="F40" i="34" l="1"/>
  <c r="G37" i="88"/>
  <c r="E35" i="88"/>
  <c r="D35" i="88"/>
  <c r="G36" i="88"/>
  <c r="G40" i="88"/>
  <c r="F35" i="88"/>
  <c r="H37" i="34"/>
  <c r="H44" i="108"/>
  <c r="D46" i="108"/>
  <c r="H46" i="108" s="1"/>
  <c r="D36" i="34"/>
  <c r="E40" i="34"/>
  <c r="H37" i="17"/>
  <c r="H37" i="6"/>
  <c r="H37" i="28"/>
  <c r="D40" i="34"/>
  <c r="H37" i="20"/>
  <c r="D46" i="25"/>
  <c r="H46" i="25" s="1"/>
  <c r="E36" i="34"/>
  <c r="H37" i="31"/>
  <c r="H35" i="34"/>
  <c r="H37" i="4"/>
  <c r="H36" i="106"/>
  <c r="H40" i="25"/>
  <c r="H40" i="104"/>
  <c r="H37" i="18"/>
  <c r="H40" i="106"/>
  <c r="H41" i="25"/>
  <c r="H36" i="25"/>
  <c r="D36" i="27"/>
  <c r="D40" i="27"/>
  <c r="H35" i="27"/>
  <c r="D36" i="24"/>
  <c r="H35" i="24"/>
  <c r="D40" i="24"/>
  <c r="E40" i="21"/>
  <c r="E41" i="21" s="1"/>
  <c r="E44" i="21" s="1"/>
  <c r="E46" i="21" s="1"/>
  <c r="E48" i="21" s="1"/>
  <c r="E62" i="21" s="1"/>
  <c r="E36" i="21"/>
  <c r="D40" i="19"/>
  <c r="H35" i="19"/>
  <c r="D36" i="19"/>
  <c r="H35" i="32"/>
  <c r="E36" i="32"/>
  <c r="H36" i="32" s="1"/>
  <c r="E40" i="32"/>
  <c r="H35" i="6"/>
  <c r="F40" i="6"/>
  <c r="F41" i="6" s="1"/>
  <c r="F44" i="6" s="1"/>
  <c r="F46" i="6" s="1"/>
  <c r="F48" i="6" s="1"/>
  <c r="F62" i="6" s="1"/>
  <c r="F36" i="6"/>
  <c r="D40" i="4"/>
  <c r="H35" i="4"/>
  <c r="D36" i="4"/>
  <c r="E40" i="18"/>
  <c r="E41" i="18" s="1"/>
  <c r="E44" i="18" s="1"/>
  <c r="E46" i="18" s="1"/>
  <c r="E48" i="18" s="1"/>
  <c r="E62" i="18" s="1"/>
  <c r="E36" i="18"/>
  <c r="D40" i="21"/>
  <c r="H35" i="21"/>
  <c r="D36" i="21"/>
  <c r="E40" i="19"/>
  <c r="E41" i="19" s="1"/>
  <c r="E44" i="19" s="1"/>
  <c r="E46" i="19" s="1"/>
  <c r="E48" i="19" s="1"/>
  <c r="E62" i="19" s="1"/>
  <c r="E36" i="19"/>
  <c r="E40" i="6"/>
  <c r="E41" i="6" s="1"/>
  <c r="E44" i="6" s="1"/>
  <c r="E46" i="6" s="1"/>
  <c r="E48" i="6" s="1"/>
  <c r="E62" i="6" s="1"/>
  <c r="E36" i="6"/>
  <c r="F40" i="21"/>
  <c r="F41" i="21" s="1"/>
  <c r="F44" i="21" s="1"/>
  <c r="F46" i="21" s="1"/>
  <c r="F48" i="21" s="1"/>
  <c r="F62" i="21" s="1"/>
  <c r="F36" i="21"/>
  <c r="F40" i="4"/>
  <c r="F41" i="4" s="1"/>
  <c r="F44" i="4" s="1"/>
  <c r="F46" i="4" s="1"/>
  <c r="F48" i="4" s="1"/>
  <c r="F62" i="4" s="1"/>
  <c r="F36" i="4"/>
  <c r="D40" i="26"/>
  <c r="D36" i="26"/>
  <c r="E36" i="28"/>
  <c r="E40" i="28"/>
  <c r="E41" i="28" s="1"/>
  <c r="E44" i="28" s="1"/>
  <c r="E46" i="28" s="1"/>
  <c r="E48" i="28" s="1"/>
  <c r="E62" i="28" s="1"/>
  <c r="H35" i="26"/>
  <c r="F40" i="26"/>
  <c r="F41" i="26" s="1"/>
  <c r="F44" i="26" s="1"/>
  <c r="F46" i="26" s="1"/>
  <c r="F48" i="26" s="1"/>
  <c r="F62" i="26" s="1"/>
  <c r="F36" i="26"/>
  <c r="D36" i="17"/>
  <c r="H36" i="17" s="1"/>
  <c r="H35" i="17"/>
  <c r="D40" i="17"/>
  <c r="D36" i="6"/>
  <c r="D40" i="6"/>
  <c r="D36" i="22"/>
  <c r="D37" i="22" s="1"/>
  <c r="H37" i="22" s="1"/>
  <c r="D40" i="22"/>
  <c r="H35" i="22"/>
  <c r="E40" i="22"/>
  <c r="E41" i="22" s="1"/>
  <c r="E44" i="22" s="1"/>
  <c r="E46" i="22" s="1"/>
  <c r="E48" i="22" s="1"/>
  <c r="E62" i="22" s="1"/>
  <c r="E36" i="22"/>
  <c r="E40" i="20"/>
  <c r="E41" i="20" s="1"/>
  <c r="E44" i="20" s="1"/>
  <c r="E46" i="20" s="1"/>
  <c r="E48" i="20" s="1"/>
  <c r="E62" i="20" s="1"/>
  <c r="E36" i="20"/>
  <c r="F40" i="27"/>
  <c r="F41" i="27" s="1"/>
  <c r="F44" i="27" s="1"/>
  <c r="F46" i="27" s="1"/>
  <c r="F48" i="27" s="1"/>
  <c r="F62" i="27" s="1"/>
  <c r="F36" i="27"/>
  <c r="D40" i="18"/>
  <c r="D36" i="18"/>
  <c r="H35" i="18"/>
  <c r="F36" i="28"/>
  <c r="F40" i="28"/>
  <c r="F41" i="28" s="1"/>
  <c r="F44" i="28" s="1"/>
  <c r="F46" i="28" s="1"/>
  <c r="F48" i="28" s="1"/>
  <c r="F62" i="28" s="1"/>
  <c r="D40" i="31"/>
  <c r="D36" i="31"/>
  <c r="H35" i="31"/>
  <c r="F40" i="20"/>
  <c r="F41" i="20" s="1"/>
  <c r="F44" i="20" s="1"/>
  <c r="F46" i="20" s="1"/>
  <c r="F48" i="20" s="1"/>
  <c r="F62" i="20" s="1"/>
  <c r="F36" i="20"/>
  <c r="F40" i="18"/>
  <c r="F41" i="18" s="1"/>
  <c r="F44" i="18" s="1"/>
  <c r="F46" i="18" s="1"/>
  <c r="F48" i="18" s="1"/>
  <c r="F62" i="18" s="1"/>
  <c r="F36" i="18"/>
  <c r="F36" i="24"/>
  <c r="F40" i="24"/>
  <c r="F41" i="24" s="1"/>
  <c r="F44" i="24" s="1"/>
  <c r="F46" i="24" s="1"/>
  <c r="F48" i="24" s="1"/>
  <c r="F62" i="24" s="1"/>
  <c r="D40" i="28"/>
  <c r="D36" i="28"/>
  <c r="H35" i="28"/>
  <c r="F40" i="31"/>
  <c r="F41" i="31" s="1"/>
  <c r="F44" i="31" s="1"/>
  <c r="F36" i="31"/>
  <c r="E36" i="26"/>
  <c r="E37" i="26" s="1"/>
  <c r="E37" i="88" s="1"/>
  <c r="E40" i="26"/>
  <c r="E41" i="26" s="1"/>
  <c r="E44" i="26" s="1"/>
  <c r="E46" i="26" s="1"/>
  <c r="E48" i="26" s="1"/>
  <c r="E62" i="26" s="1"/>
  <c r="E36" i="4"/>
  <c r="E40" i="4"/>
  <c r="E41" i="4" s="1"/>
  <c r="E44" i="4" s="1"/>
  <c r="E46" i="4" s="1"/>
  <c r="E48" i="4" s="1"/>
  <c r="E62" i="4" s="1"/>
  <c r="D36" i="20"/>
  <c r="D40" i="20"/>
  <c r="H35" i="20"/>
  <c r="E36" i="27"/>
  <c r="E40" i="27"/>
  <c r="E41" i="27" s="1"/>
  <c r="E44" i="27" s="1"/>
  <c r="E46" i="27" s="1"/>
  <c r="E48" i="27" s="1"/>
  <c r="E62" i="27" s="1"/>
  <c r="E40" i="24"/>
  <c r="E41" i="24" s="1"/>
  <c r="E44" i="24" s="1"/>
  <c r="E46" i="24" s="1"/>
  <c r="E48" i="24" s="1"/>
  <c r="E62" i="24" s="1"/>
  <c r="E36" i="24"/>
  <c r="F40" i="22"/>
  <c r="F41" i="22" s="1"/>
  <c r="F44" i="22" s="1"/>
  <c r="F46" i="22" s="1"/>
  <c r="F48" i="22" s="1"/>
  <c r="F62" i="22" s="1"/>
  <c r="F36" i="22"/>
  <c r="F36" i="19"/>
  <c r="F40" i="19"/>
  <c r="F41" i="19" s="1"/>
  <c r="F44" i="19" s="1"/>
  <c r="F46" i="19" s="1"/>
  <c r="F48" i="19" s="1"/>
  <c r="F62" i="19" s="1"/>
  <c r="F46" i="32"/>
  <c r="F40" i="107"/>
  <c r="F41" i="107" s="1"/>
  <c r="F44" i="107" s="1"/>
  <c r="F36" i="107"/>
  <c r="H35" i="107"/>
  <c r="D40" i="107"/>
  <c r="D36" i="107"/>
  <c r="E40" i="107"/>
  <c r="E41" i="107" s="1"/>
  <c r="E44" i="107" s="1"/>
  <c r="E36" i="107"/>
  <c r="H41" i="106"/>
  <c r="D44" i="106"/>
  <c r="E41" i="34"/>
  <c r="G41" i="34"/>
  <c r="G41" i="88" s="1"/>
  <c r="F41" i="34"/>
  <c r="G44" i="22"/>
  <c r="G44" i="21"/>
  <c r="D46" i="32"/>
  <c r="D48" i="32" s="1"/>
  <c r="G44" i="104"/>
  <c r="H41" i="104"/>
  <c r="G46" i="32"/>
  <c r="D48" i="104"/>
  <c r="F36" i="88" l="1"/>
  <c r="F41" i="88"/>
  <c r="H35" i="88"/>
  <c r="E40" i="88"/>
  <c r="E36" i="88"/>
  <c r="D36" i="88"/>
  <c r="D40" i="88"/>
  <c r="F40" i="88"/>
  <c r="D48" i="108"/>
  <c r="D62" i="108" s="1"/>
  <c r="H40" i="34"/>
  <c r="H36" i="34"/>
  <c r="D48" i="25"/>
  <c r="D62" i="25" s="1"/>
  <c r="D41" i="34"/>
  <c r="H36" i="18"/>
  <c r="H36" i="22"/>
  <c r="H36" i="6"/>
  <c r="D41" i="20"/>
  <c r="H40" i="20"/>
  <c r="D41" i="26"/>
  <c r="H40" i="26"/>
  <c r="H36" i="20"/>
  <c r="H36" i="28"/>
  <c r="H37" i="26"/>
  <c r="D41" i="18"/>
  <c r="H40" i="18"/>
  <c r="D41" i="4"/>
  <c r="H40" i="4"/>
  <c r="H36" i="31"/>
  <c r="H40" i="28"/>
  <c r="D41" i="28"/>
  <c r="D41" i="22"/>
  <c r="H40" i="22"/>
  <c r="D37" i="21"/>
  <c r="D37" i="88" s="1"/>
  <c r="H36" i="21"/>
  <c r="H36" i="19"/>
  <c r="D41" i="24"/>
  <c r="H40" i="24"/>
  <c r="D41" i="31"/>
  <c r="H40" i="31"/>
  <c r="D41" i="6"/>
  <c r="H40" i="6"/>
  <c r="D41" i="21"/>
  <c r="H40" i="21"/>
  <c r="D41" i="19"/>
  <c r="H40" i="19"/>
  <c r="H36" i="24"/>
  <c r="H40" i="17"/>
  <c r="D41" i="17"/>
  <c r="D41" i="27"/>
  <c r="H40" i="27"/>
  <c r="H36" i="26"/>
  <c r="H36" i="4"/>
  <c r="E41" i="32"/>
  <c r="E41" i="88" s="1"/>
  <c r="H40" i="32"/>
  <c r="H36" i="27"/>
  <c r="G48" i="32"/>
  <c r="G62" i="32" s="1"/>
  <c r="F48" i="32"/>
  <c r="H36" i="107"/>
  <c r="F46" i="107"/>
  <c r="F48" i="107" s="1"/>
  <c r="F62" i="107" s="1"/>
  <c r="E46" i="107"/>
  <c r="E48" i="107" s="1"/>
  <c r="E62" i="107" s="1"/>
  <c r="D41" i="107"/>
  <c r="H40" i="107"/>
  <c r="H44" i="106"/>
  <c r="D46" i="106"/>
  <c r="H46" i="106" s="1"/>
  <c r="G44" i="34"/>
  <c r="G44" i="88" s="1"/>
  <c r="F46" i="31"/>
  <c r="E44" i="34"/>
  <c r="G46" i="22"/>
  <c r="F44" i="34"/>
  <c r="F44" i="88" s="1"/>
  <c r="G46" i="21"/>
  <c r="D62" i="104"/>
  <c r="G46" i="104"/>
  <c r="H46" i="104" s="1"/>
  <c r="H44" i="104"/>
  <c r="D62" i="32"/>
  <c r="H48" i="108" l="1"/>
  <c r="H62" i="108" s="1"/>
  <c r="D41" i="88"/>
  <c r="H36" i="88"/>
  <c r="H40" i="88"/>
  <c r="D44" i="34"/>
  <c r="H48" i="25"/>
  <c r="H62" i="25" s="1"/>
  <c r="H41" i="34"/>
  <c r="D44" i="24"/>
  <c r="H41" i="24"/>
  <c r="D44" i="21"/>
  <c r="H41" i="21"/>
  <c r="H41" i="6"/>
  <c r="D44" i="6"/>
  <c r="H37" i="21"/>
  <c r="H37" i="88" s="1"/>
  <c r="D44" i="4"/>
  <c r="H41" i="4"/>
  <c r="H41" i="17"/>
  <c r="D44" i="17"/>
  <c r="H41" i="26"/>
  <c r="D44" i="26"/>
  <c r="H41" i="27"/>
  <c r="D44" i="27"/>
  <c r="H41" i="32"/>
  <c r="E44" i="32"/>
  <c r="E44" i="88" s="1"/>
  <c r="D44" i="31"/>
  <c r="H41" i="31"/>
  <c r="D44" i="22"/>
  <c r="H41" i="22"/>
  <c r="D44" i="18"/>
  <c r="H41" i="18"/>
  <c r="H41" i="28"/>
  <c r="D44" i="28"/>
  <c r="D44" i="20"/>
  <c r="H41" i="20"/>
  <c r="D44" i="19"/>
  <c r="H41" i="19"/>
  <c r="F62" i="32"/>
  <c r="H41" i="107"/>
  <c r="D44" i="107"/>
  <c r="D48" i="106"/>
  <c r="E46" i="34"/>
  <c r="F48" i="31"/>
  <c r="G46" i="34"/>
  <c r="G46" i="88" s="1"/>
  <c r="G48" i="22"/>
  <c r="G62" i="22" s="1"/>
  <c r="F46" i="34"/>
  <c r="F46" i="88" s="1"/>
  <c r="G48" i="21"/>
  <c r="G48" i="104"/>
  <c r="H41" i="88" l="1"/>
  <c r="H44" i="34"/>
  <c r="D44" i="88"/>
  <c r="D46" i="34"/>
  <c r="C37" i="92"/>
  <c r="D46" i="18"/>
  <c r="H46" i="18" s="1"/>
  <c r="H44" i="18"/>
  <c r="D46" i="26"/>
  <c r="H46" i="26" s="1"/>
  <c r="H44" i="26"/>
  <c r="H44" i="6"/>
  <c r="D46" i="6"/>
  <c r="H46" i="6" s="1"/>
  <c r="D46" i="19"/>
  <c r="H44" i="19"/>
  <c r="D46" i="17"/>
  <c r="H46" i="17" s="1"/>
  <c r="H44" i="17"/>
  <c r="E46" i="32"/>
  <c r="H46" i="32" s="1"/>
  <c r="H44" i="32"/>
  <c r="H44" i="27"/>
  <c r="D46" i="27"/>
  <c r="D46" i="21"/>
  <c r="H44" i="21"/>
  <c r="D46" i="22"/>
  <c r="H44" i="22"/>
  <c r="D46" i="20"/>
  <c r="H44" i="20"/>
  <c r="D46" i="31"/>
  <c r="H46" i="31" s="1"/>
  <c r="H44" i="31"/>
  <c r="D46" i="28"/>
  <c r="H46" i="28" s="1"/>
  <c r="H44" i="28"/>
  <c r="D46" i="4"/>
  <c r="H46" i="4" s="1"/>
  <c r="H44" i="4"/>
  <c r="H44" i="24"/>
  <c r="D46" i="24"/>
  <c r="E48" i="34"/>
  <c r="G62" i="21"/>
  <c r="H44" i="107"/>
  <c r="D46" i="107"/>
  <c r="H46" i="107" s="1"/>
  <c r="D62" i="106"/>
  <c r="H48" i="106"/>
  <c r="H62" i="106" s="1"/>
  <c r="G48" i="34"/>
  <c r="G48" i="88" s="1"/>
  <c r="F62" i="31"/>
  <c r="F48" i="34"/>
  <c r="F48" i="88" s="1"/>
  <c r="G62" i="104"/>
  <c r="H48" i="104"/>
  <c r="H62" i="104" s="1"/>
  <c r="E46" i="88" l="1"/>
  <c r="H46" i="34"/>
  <c r="D46" i="88"/>
  <c r="H44" i="88"/>
  <c r="D48" i="34"/>
  <c r="D48" i="28"/>
  <c r="D62" i="28" s="1"/>
  <c r="D48" i="18"/>
  <c r="H48" i="18" s="1"/>
  <c r="H62" i="18" s="1"/>
  <c r="D48" i="6"/>
  <c r="H48" i="6" s="1"/>
  <c r="H62" i="6" s="1"/>
  <c r="E48" i="32"/>
  <c r="E48" i="88" s="1"/>
  <c r="D48" i="21"/>
  <c r="H46" i="21"/>
  <c r="H46" i="27"/>
  <c r="D48" i="27"/>
  <c r="D48" i="20"/>
  <c r="H46" i="20"/>
  <c r="D48" i="19"/>
  <c r="H46" i="19"/>
  <c r="H46" i="24"/>
  <c r="D48" i="24"/>
  <c r="D48" i="22"/>
  <c r="H46" i="22"/>
  <c r="D48" i="4"/>
  <c r="D48" i="31"/>
  <c r="D48" i="17"/>
  <c r="D48" i="26"/>
  <c r="E62" i="34"/>
  <c r="D48" i="107"/>
  <c r="G62" i="34"/>
  <c r="G62" i="88" s="1"/>
  <c r="F62" i="34"/>
  <c r="F62" i="88" s="1"/>
  <c r="D48" i="88" l="1"/>
  <c r="H48" i="34"/>
  <c r="H62" i="34" s="1"/>
  <c r="D62" i="34"/>
  <c r="H46" i="88"/>
  <c r="D62" i="18"/>
  <c r="D62" i="6"/>
  <c r="H48" i="28"/>
  <c r="H62" i="28" s="1"/>
  <c r="E62" i="32"/>
  <c r="E62" i="88" s="1"/>
  <c r="H48" i="32"/>
  <c r="H62" i="32" s="1"/>
  <c r="D62" i="19"/>
  <c r="H48" i="19"/>
  <c r="H62" i="19" s="1"/>
  <c r="D62" i="24"/>
  <c r="H48" i="24"/>
  <c r="H62" i="24" s="1"/>
  <c r="D62" i="27"/>
  <c r="H48" i="27"/>
  <c r="H62" i="27" s="1"/>
  <c r="H48" i="4"/>
  <c r="H62" i="4" s="1"/>
  <c r="D62" i="4"/>
  <c r="D62" i="20"/>
  <c r="H62" i="20"/>
  <c r="D62" i="26"/>
  <c r="H48" i="26"/>
  <c r="H62" i="26" s="1"/>
  <c r="D62" i="17"/>
  <c r="H48" i="17"/>
  <c r="H62" i="17" s="1"/>
  <c r="D62" i="22"/>
  <c r="H48" i="22"/>
  <c r="H62" i="22" s="1"/>
  <c r="D62" i="31"/>
  <c r="H48" i="31"/>
  <c r="H62" i="31" s="1"/>
  <c r="D62" i="21"/>
  <c r="H48" i="21"/>
  <c r="H62" i="21" s="1"/>
  <c r="H48" i="107"/>
  <c r="H62" i="107" s="1"/>
  <c r="D62" i="107"/>
  <c r="H62" i="88" l="1"/>
  <c r="C16" i="92" s="1"/>
  <c r="D62" i="88"/>
  <c r="H48" i="88"/>
  <c r="C27" i="92" s="1"/>
  <c r="C31" i="92" s="1"/>
  <c r="C21" i="92" l="1"/>
</calcChain>
</file>

<file path=xl/comments1.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10.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11.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12.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13.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14.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15.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16.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17.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18.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19.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2.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20.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21.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3.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4.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5.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6.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7.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8.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comments9.xml><?xml version="1.0" encoding="utf-8"?>
<comments xmlns="http://schemas.openxmlformats.org/spreadsheetml/2006/main">
  <authors>
    <author>A satisfied Microsoft Office user</author>
  </authors>
  <commentList>
    <comment ref="B43" author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sharedStrings.xml><?xml version="1.0" encoding="utf-8"?>
<sst xmlns="http://schemas.openxmlformats.org/spreadsheetml/2006/main" count="1761" uniqueCount="276">
  <si>
    <t>TABLE 4a - DETAIL OF TAXING DISTRICT LEVIES</t>
  </si>
  <si>
    <t>NOTE:  Where urban renewal excess value impacts the district, report any reduced rate levies on a separate table 4a.</t>
  </si>
  <si>
    <t>County:</t>
  </si>
  <si>
    <t>Taxing District Code</t>
  </si>
  <si>
    <t>Taxing District Name</t>
  </si>
  <si>
    <t>Counties in which District lies</t>
  </si>
  <si>
    <t xml:space="preserve"> </t>
  </si>
  <si>
    <t>"GAP" BONDS OR</t>
  </si>
  <si>
    <t>PERMANENT</t>
  </si>
  <si>
    <t>LOCAL OPTION</t>
  </si>
  <si>
    <t>UR SPECIAL LEVY</t>
  </si>
  <si>
    <t>BONDS</t>
  </si>
  <si>
    <r>
      <t xml:space="preserve">Levy Approved </t>
    </r>
    <r>
      <rPr>
        <u/>
        <sz val="12"/>
        <rFont val="Arial"/>
        <family val="2"/>
      </rPr>
      <t>Before</t>
    </r>
    <r>
      <rPr>
        <sz val="12"/>
        <rFont val="Arial"/>
        <family val="2"/>
      </rPr>
      <t xml:space="preserve"> or </t>
    </r>
    <r>
      <rPr>
        <u/>
        <sz val="12"/>
        <rFont val="Arial"/>
        <family val="2"/>
      </rPr>
      <t>After</t>
    </r>
    <r>
      <rPr>
        <sz val="12"/>
        <rFont val="Arial"/>
        <family val="2"/>
      </rPr>
      <t xml:space="preserve"> 10/6/01</t>
    </r>
  </si>
  <si>
    <t>Inside M5 Limit</t>
  </si>
  <si>
    <t>Outside M5 Limit</t>
  </si>
  <si>
    <t>TOTAL</t>
  </si>
  <si>
    <t xml:space="preserve"> Ad Valorem Tax Levies</t>
  </si>
  <si>
    <t>Permanent Levy (if dollar amount)</t>
  </si>
  <si>
    <t>Local Option Levy (if dollar amount)*</t>
  </si>
  <si>
    <t>"GAP" Bond Levy</t>
  </si>
  <si>
    <t>Urban Renewal Special Levy</t>
  </si>
  <si>
    <t xml:space="preserve">Bond Levy* </t>
  </si>
  <si>
    <t>TOTAL DOLLAR LEVY (add lines 5 thru 9)</t>
  </si>
  <si>
    <t>Adjustments</t>
  </si>
  <si>
    <t xml:space="preserve">Amount Raised in Other Counties </t>
  </si>
  <si>
    <t>NET DOLLAR LEVY FOR TAX RATE (line 10 minus line 11)</t>
  </si>
  <si>
    <t>Taxable Property Value (if an urban renewal plan is involved, report reduced rate levies separately)</t>
  </si>
  <si>
    <t>Total Assessed Value</t>
  </si>
  <si>
    <t xml:space="preserve">    Add: Non-Profit Housing Value</t>
  </si>
  <si>
    <t xml:space="preserve">    Add:  Fish and Wildlife Value</t>
  </si>
  <si>
    <t xml:space="preserve">    Subtract: Urban Renewal Excess (amt. used only)**</t>
  </si>
  <si>
    <t>VALUE TO COMPUTE THE TAX RATE</t>
  </si>
  <si>
    <t>Tax Computations</t>
  </si>
  <si>
    <t>Tax Rate (for dollar levies, line 12 divided by line 17)***</t>
  </si>
  <si>
    <t>Amount Tax Rate Will Raise (line 17 times line 18)</t>
  </si>
  <si>
    <t>Truncation Loss (for dollar levies only)  (line 19 minus line 12)</t>
  </si>
  <si>
    <r>
      <t xml:space="preserve">Total Timber Offset Amount </t>
    </r>
    <r>
      <rPr>
        <b/>
        <sz val="12"/>
        <rFont val="Arial"/>
        <family val="2"/>
      </rPr>
      <t>(county district only)</t>
    </r>
  </si>
  <si>
    <t>Timber Tax Rate (line 21 divided by line 17)</t>
  </si>
  <si>
    <t>Billing Rate (line 18 minus line 22)</t>
  </si>
  <si>
    <t>Calculated Tax for Extension for District (line 23 times line 17)</t>
  </si>
  <si>
    <t>24a</t>
  </si>
  <si>
    <t>Gain from UR Division of Tax Rate Truncation</t>
  </si>
  <si>
    <t>24b</t>
  </si>
  <si>
    <t>Gain or Loss from UR Division of Tax Across Counties</t>
  </si>
  <si>
    <t>24c</t>
  </si>
  <si>
    <t>Net Tax for Extension (24 + 24a + 24b)</t>
  </si>
  <si>
    <t xml:space="preserve">Actual Tax Extended for District </t>
  </si>
  <si>
    <t>District's Gain or Loss from Individual Extension (25 - 24c)</t>
  </si>
  <si>
    <t>District's Compression Loss (Enter as a negative number)****</t>
  </si>
  <si>
    <t>DISTRICT TAXES IMPOSED (line 24c+line 26+line 27)</t>
  </si>
  <si>
    <t>Additional Taxes/Penalties</t>
  </si>
  <si>
    <t>Farmland (ORS 308A.703)</t>
  </si>
  <si>
    <t>Forestland (ORS 308A.703)</t>
  </si>
  <si>
    <t>Small Tract Forestland (STF) (ORS 308A.703)</t>
  </si>
  <si>
    <t>Open Space (ORS 308.770)</t>
  </si>
  <si>
    <t>Historic Property (ORS 358.525)</t>
  </si>
  <si>
    <t>Other ________________________________________</t>
  </si>
  <si>
    <t>Late Filing Fee County Only (ORS 308.302)</t>
  </si>
  <si>
    <t>Roll Corrections (ORS 311.206), incl. omitted property/other roll corrections, but excl. roll corrections under ORS 311.208.</t>
  </si>
  <si>
    <t>TOTAL ADDITIONAL TAXES/PENALTIES (lines 29 thru 37)</t>
  </si>
  <si>
    <t>TOTAL TO BE RECEIVED (line 28 plus line 38)</t>
  </si>
  <si>
    <t>Percentage Schedule (ORS 311.390) [OPTIONAL, SEE INSTRUCTIONS]</t>
  </si>
  <si>
    <t xml:space="preserve">* If district has multiple Local Option or Bond levies,  please show each levy on a separate 4a page (see instructions about combining in some cases). </t>
  </si>
  <si>
    <r>
      <t>** For urban renewal special levies, enter zero on this line:  excess value</t>
    </r>
    <r>
      <rPr>
        <sz val="12"/>
        <rFont val="Arial"/>
        <family val="2"/>
      </rPr>
      <t xml:space="preserve"> is </t>
    </r>
    <r>
      <rPr>
        <b/>
        <sz val="12"/>
        <rFont val="Arial"/>
        <family val="2"/>
      </rPr>
      <t>not</t>
    </r>
    <r>
      <rPr>
        <sz val="12"/>
        <rFont val="Arial"/>
        <family val="2"/>
      </rPr>
      <t xml:space="preserve"> subtracted.</t>
    </r>
  </si>
  <si>
    <t>*** Line 12/Line 17 computation applies ONLY to dollar levies; if district has a rate levy, enter the tax rate certified.</t>
  </si>
  <si>
    <t>**** Enter only the district or U.R. special levy compression loss.  Urban renewal division of tax compression loss is reported on table 4e. See instructions.</t>
  </si>
  <si>
    <t>District Abbreviation</t>
  </si>
  <si>
    <t>dist_code</t>
  </si>
  <si>
    <t>dist_abbrev</t>
  </si>
  <si>
    <t>dist_name</t>
  </si>
  <si>
    <t>local_options</t>
  </si>
  <si>
    <t>bonds</t>
  </si>
  <si>
    <t>jc1</t>
  </si>
  <si>
    <t>jc2</t>
  </si>
  <si>
    <t>jc3</t>
  </si>
  <si>
    <t>jc4</t>
  </si>
  <si>
    <t>jc5</t>
  </si>
  <si>
    <t>jc6</t>
  </si>
  <si>
    <t>jc7</t>
  </si>
  <si>
    <t>jc8</t>
  </si>
  <si>
    <t>jc9</t>
  </si>
  <si>
    <t>jc10</t>
  </si>
  <si>
    <t>county_name</t>
  </si>
  <si>
    <t>dist_party_id</t>
  </si>
  <si>
    <t>r4c2</t>
  </si>
  <si>
    <t>r4c4</t>
  </si>
  <si>
    <t>r5c1</t>
  </si>
  <si>
    <t>r6c2</t>
  </si>
  <si>
    <t>r7c3</t>
  </si>
  <si>
    <t>r8c3</t>
  </si>
  <si>
    <t>r9c4</t>
  </si>
  <si>
    <t>r11c1</t>
  </si>
  <si>
    <t>r11c2</t>
  </si>
  <si>
    <t>r11c3</t>
  </si>
  <si>
    <t>r11c4</t>
  </si>
  <si>
    <t>r13c5a</t>
  </si>
  <si>
    <t>r13c5b</t>
  </si>
  <si>
    <t>r13c5</t>
  </si>
  <si>
    <t>r14c5</t>
  </si>
  <si>
    <t>r15c5</t>
  </si>
  <si>
    <t>r16c5</t>
  </si>
  <si>
    <t>r18c1</t>
  </si>
  <si>
    <t>r18c2</t>
  </si>
  <si>
    <t>r18c3</t>
  </si>
  <si>
    <t>r18c4</t>
  </si>
  <si>
    <t>r18ac1</t>
  </si>
  <si>
    <t>r18ac2</t>
  </si>
  <si>
    <t>r18ac3</t>
  </si>
  <si>
    <t>r18ac4</t>
  </si>
  <si>
    <t>r21c1</t>
  </si>
  <si>
    <t>r22c1</t>
  </si>
  <si>
    <t>r23c1</t>
  </si>
  <si>
    <t>r23c2</t>
  </si>
  <si>
    <t>r23c3</t>
  </si>
  <si>
    <t>r23c4</t>
  </si>
  <si>
    <t>r24ac1</t>
  </si>
  <si>
    <t>r24ac2</t>
  </si>
  <si>
    <t>r24ac3</t>
  </si>
  <si>
    <t>r24ac4</t>
  </si>
  <si>
    <t>r24bc1</t>
  </si>
  <si>
    <t>r24bc2</t>
  </si>
  <si>
    <t>r24bc3</t>
  </si>
  <si>
    <t>r24bc4</t>
  </si>
  <si>
    <t>r25c1</t>
  </si>
  <si>
    <t>r25c2</t>
  </si>
  <si>
    <t>r25c3</t>
  </si>
  <si>
    <t>r25c4</t>
  </si>
  <si>
    <t>r27c1</t>
  </si>
  <si>
    <t>r27c2</t>
  </si>
  <si>
    <t>r27c3</t>
  </si>
  <si>
    <t>r27c4</t>
  </si>
  <si>
    <t>r29c4</t>
  </si>
  <si>
    <t>r30c4</t>
  </si>
  <si>
    <t>r31c4</t>
  </si>
  <si>
    <t>r32c4</t>
  </si>
  <si>
    <t>r33c4</t>
  </si>
  <si>
    <t>r34c4</t>
  </si>
  <si>
    <t>r35c4</t>
  </si>
  <si>
    <t>r36c4</t>
  </si>
  <si>
    <t>r37c4</t>
  </si>
  <si>
    <t>r40c5</t>
  </si>
  <si>
    <t>Joint Counties</t>
  </si>
  <si>
    <t>Index</t>
  </si>
  <si>
    <t>IN SOME CASES, THE TOTAL NUMBER WILL NOT MAKE SENSE</t>
  </si>
  <si>
    <t>THIS IS ONLY FOR TESTING AND COMPILING THE 4A's AND VERIFYING THE TOTALS</t>
  </si>
  <si>
    <t>SUMMARY 4A WORKSHEET #1 - THIS FORM TOTALS ALL CITIES AND LANE COUNTY</t>
  </si>
  <si>
    <t>* Matches Clerical Errors</t>
  </si>
  <si>
    <t>* Matches Late Filing Penalty</t>
  </si>
  <si>
    <t>* Matches Declass Forest</t>
  </si>
  <si>
    <t>* Matches Declass Unzoned Farm</t>
  </si>
  <si>
    <t>* These Amount would make no sense as they are sums of each 4A</t>
  </si>
  <si>
    <t>4A Lines</t>
  </si>
  <si>
    <t>Amount</t>
  </si>
  <si>
    <t>S/A Types</t>
  </si>
  <si>
    <t>Amounts</t>
  </si>
  <si>
    <t>Clerical Error</t>
  </si>
  <si>
    <t>Declass Farm</t>
  </si>
  <si>
    <t>Declass Forest</t>
  </si>
  <si>
    <t>M/S Ombudsman</t>
  </si>
  <si>
    <t>Compression</t>
  </si>
  <si>
    <t>Late Penalty Real</t>
  </si>
  <si>
    <t>Late Penalty Util</t>
  </si>
  <si>
    <t>Late Penalty P/P</t>
  </si>
  <si>
    <t>Total Late Penalty</t>
  </si>
  <si>
    <t>Line 29 - Farm</t>
  </si>
  <si>
    <t>Line 30 - Forest</t>
  </si>
  <si>
    <t>Line 37 - Clerical Error</t>
  </si>
  <si>
    <t>Line 36 - Late Penalty</t>
  </si>
  <si>
    <t>Line  39 Total Received</t>
  </si>
  <si>
    <t>Table 5 Amounts</t>
  </si>
  <si>
    <t>Included in 4A's</t>
  </si>
  <si>
    <t>Total Taxes Imposed</t>
  </si>
  <si>
    <t>* See Balancing Summary Worksheet for This Line</t>
  </si>
  <si>
    <t>Table 8 - Line 4</t>
  </si>
  <si>
    <t>&lt;--&gt;</t>
  </si>
  <si>
    <t>Should Match</t>
  </si>
  <si>
    <t>Table 5 Totals</t>
  </si>
  <si>
    <t>Total</t>
  </si>
  <si>
    <t>***** Matches Balancing Script Named</t>
  </si>
  <si>
    <t>"Levies with Breakdown as to SAL Table 8 Category</t>
  </si>
  <si>
    <t>Part of SAL Table Balancing Scripts</t>
  </si>
  <si>
    <t>Table 4a total line 28</t>
  </si>
  <si>
    <t>(Net of Compression)</t>
  </si>
  <si>
    <t>* Matches Compression Loss for Districts (less U/R Comp Loss and Ombudsman Loss)</t>
  </si>
  <si>
    <t>* Should be minimal (sinlge dollars at most)</t>
  </si>
  <si>
    <t>Line 38</t>
  </si>
  <si>
    <t>Sum of ITAX for Levies</t>
  </si>
  <si>
    <t>Table 5 Amounts - less MHOMB</t>
  </si>
  <si>
    <t>* Only Lane County District.  Mathces sum of values in levy_value where type = "TOA"</t>
  </si>
  <si>
    <t>Column in Report is "S/A Only"</t>
  </si>
  <si>
    <t>Truncation - SAL Table 8 - Line 11</t>
  </si>
  <si>
    <t>Compression Loss - Line 27</t>
  </si>
  <si>
    <t>Compression Loss - SAL Table 8</t>
  </si>
  <si>
    <t>Compression Loss - Table 5</t>
  </si>
  <si>
    <t>Compression Loss - Table 4E</t>
  </si>
  <si>
    <t>Total Compression Loss</t>
  </si>
  <si>
    <t>* True Loss due to truncation for Table 8 (within pennies due to rounding)</t>
  </si>
  <si>
    <t>Gain from U/R Truncation - Line 24a</t>
  </si>
  <si>
    <t>Total TRUN Values from Levy Value</t>
  </si>
  <si>
    <t>Total UT% Values from Levy Value</t>
  </si>
  <si>
    <t xml:space="preserve">* Matches sum(value) in levy_value where type = "TRUN" </t>
  </si>
  <si>
    <t>AND  Matches sum(value) in levy_value where type = "UT%"</t>
  </si>
  <si>
    <t>* Only Lane County District (no longer used after 2006)</t>
  </si>
  <si>
    <t>* All historics additional taxes set to zero - should be nothing here</t>
  </si>
  <si>
    <t>* No Others - should be noting here</t>
  </si>
  <si>
    <t>Truncation - Line 20</t>
  </si>
  <si>
    <t>Less Compressible S/A's</t>
  </si>
  <si>
    <t>U/R Amounts (Table 8 - Line 2)</t>
  </si>
  <si>
    <t>U/R ITAX (Table 8 - Line 2)</t>
  </si>
  <si>
    <t>Green fields from this spreadsheet</t>
  </si>
  <si>
    <t>Yellow fields from elsewhere</t>
  </si>
  <si>
    <t>Source: Table 5</t>
  </si>
  <si>
    <t xml:space="preserve">SAL Report Tax Data </t>
  </si>
  <si>
    <t>ITAX S/A Only Total</t>
  </si>
  <si>
    <t>*** Should Match</t>
  </si>
  <si>
    <t>Source: Stmt Line Detail</t>
  </si>
  <si>
    <t>Summary Balancing - SAL Tables</t>
  </si>
  <si>
    <t>F/P Principle</t>
  </si>
  <si>
    <t>F/P  Surcharge</t>
  </si>
  <si>
    <t xml:space="preserve">Total F/P </t>
  </si>
  <si>
    <t>Totals</t>
  </si>
  <si>
    <t>Levy #</t>
  </si>
  <si>
    <t>101CROOK_</t>
  </si>
  <si>
    <t>610AG_EXT</t>
  </si>
  <si>
    <t>616CC_HIS</t>
  </si>
  <si>
    <t>622HIGH_D</t>
  </si>
  <si>
    <t>630DESCHU</t>
  </si>
  <si>
    <t>631CCFR_T</t>
  </si>
  <si>
    <t>635HAHLEN</t>
  </si>
  <si>
    <t>664CC_PAR</t>
  </si>
  <si>
    <t>665CROOK_</t>
  </si>
  <si>
    <t>666VECTOR</t>
  </si>
  <si>
    <t>668JUN_CA</t>
  </si>
  <si>
    <t>679PLA_UN</t>
  </si>
  <si>
    <t>680CROOK_</t>
  </si>
  <si>
    <t>690COCC</t>
  </si>
  <si>
    <t>691COCC_B</t>
  </si>
  <si>
    <t>692CITY_O</t>
  </si>
  <si>
    <t>651OWWS</t>
  </si>
  <si>
    <t>Delq Sewer District</t>
  </si>
  <si>
    <t>681SCH2013</t>
  </si>
  <si>
    <t>Omitted Property</t>
  </si>
  <si>
    <t>New District Approve</t>
  </si>
  <si>
    <t>602_ALFFD</t>
  </si>
  <si>
    <t>101 - CROOK COUNTY</t>
  </si>
  <si>
    <t>CROOK COUNTY</t>
  </si>
  <si>
    <t>610 - AG EXTENSION SERVICE</t>
  </si>
  <si>
    <t>616 - CC HISTORICAL FUND</t>
  </si>
  <si>
    <t>622 - HIGH DESERT ESD</t>
  </si>
  <si>
    <t>630 - REDMOND FIRE &amp; RESCUE</t>
  </si>
  <si>
    <t>631 - CCFR TAXING ZONE 1</t>
  </si>
  <si>
    <t>635 - HAHLEN ROAD DISTRICT</t>
  </si>
  <si>
    <t>664 - CC PARKS &amp; REC DIST</t>
  </si>
  <si>
    <t>665 - CROOK CTY CEMETERY</t>
  </si>
  <si>
    <t>666 - VECTOR CONTROL</t>
  </si>
  <si>
    <t>668 - JUN CAN WATER DIST</t>
  </si>
  <si>
    <t>679 - PLA UNIT I ROAD DIST</t>
  </si>
  <si>
    <t>680 - CROOK CTY SCHOOL DIST</t>
  </si>
  <si>
    <t>690 - COCC</t>
  </si>
  <si>
    <t>691 - COCC BOND</t>
  </si>
  <si>
    <t>692 - CITY OF PRINEVILLE</t>
  </si>
  <si>
    <t>ALFALFA FIRE DISTRICT</t>
  </si>
  <si>
    <t>CROOK COUNTY SCHOOL DISTRICT</t>
  </si>
  <si>
    <t>OCHOCO WEST WATER &amp; SANITARY AUTHORITY</t>
  </si>
  <si>
    <t>Declass Tax Deferred</t>
  </si>
  <si>
    <t>Tax Deferred</t>
  </si>
  <si>
    <t>Line 33 - Declass Tax Deferred</t>
  </si>
  <si>
    <r>
      <t xml:space="preserve">Total Other S/A </t>
    </r>
    <r>
      <rPr>
        <b/>
        <sz val="10"/>
        <color rgb="FFFF0000"/>
        <rFont val="Arial"/>
        <family val="2"/>
      </rPr>
      <t>(Stmt Line)</t>
    </r>
  </si>
  <si>
    <r>
      <t>Plus total Other S/A's</t>
    </r>
    <r>
      <rPr>
        <b/>
        <sz val="10"/>
        <color rgb="FFFF0000"/>
        <rFont val="Arial"/>
        <family val="2"/>
      </rPr>
      <t xml:space="preserve"> (Stmt Line)</t>
    </r>
  </si>
  <si>
    <t>502JAIL</t>
  </si>
  <si>
    <t>502 - CROOK COUNTY JAIL BOND</t>
  </si>
  <si>
    <t xml:space="preserve">                       Tax Year 2019-2020</t>
  </si>
  <si>
    <t>NOTES - 2019</t>
  </si>
  <si>
    <t>Override y17 from 3,358,795 to be only 255,211.35</t>
  </si>
  <si>
    <t>Calculations try to fully assess, and should not</t>
  </si>
  <si>
    <t>Override y20 from 1,988,718 to be only 1,970,007.44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</si>
</sst>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
    <numFmt numFmtId="165" formatCode="&quot;$&quot;#,##0.00\ ;\(&quot;$&quot;#,##0.00\)"/>
    <numFmt numFmtId="166" formatCode="0.0000000%"/>
    <numFmt numFmtId="167" formatCode="0.00000"/>
    <numFmt numFmtId="168" formatCode="0.0000000000"/>
    <numFmt numFmtId="169" formatCode="#,##0.0000000000"/>
    <numFmt numFmtId="170" formatCode="0.00000000"/>
  </numFmts>
  <fonts count="18" x14ac:knownFonts="1">
    <font>
      <sz val="10"/>
      <name val="Arial"/>
    </font>
    <font>
      <sz val="10"/>
      <name val="Arial"/>
      <family val="2"/>
    </font>
    <font>
      <b/>
      <sz val="16"/>
      <name val="Arial"/>
      <family val="2"/>
    </font>
    <font>
      <sz val="12"/>
      <name val="Arial"/>
      <family val="2"/>
    </font>
    <font>
      <i/>
      <sz val="12"/>
      <color indexed="10"/>
      <name val="Arial"/>
      <family val="2"/>
    </font>
    <font>
      <b/>
      <sz val="14"/>
      <name val="Arial"/>
      <family val="2"/>
    </font>
    <font>
      <sz val="12"/>
      <color indexed="10"/>
      <name val="Arial"/>
      <family val="2"/>
    </font>
    <font>
      <sz val="10"/>
      <color indexed="10"/>
      <name val="Arial"/>
      <family val="2"/>
    </font>
    <font>
      <sz val="10"/>
      <name val="Arial"/>
      <family val="2"/>
    </font>
    <font>
      <b/>
      <sz val="12"/>
      <name val="Arial"/>
      <family val="2"/>
    </font>
    <font>
      <sz val="12"/>
      <name val="Arial"/>
      <family val="2"/>
    </font>
    <font>
      <u/>
      <sz val="12"/>
      <name val="Arial"/>
      <family val="2"/>
    </font>
    <font>
      <sz val="8"/>
      <color indexed="81"/>
      <name val="Tahoma"/>
      <family val="2"/>
    </font>
    <font>
      <sz val="10"/>
      <color indexed="8"/>
      <name val="Arial"/>
      <family val="2"/>
    </font>
    <font>
      <b/>
      <sz val="10"/>
      <name val="Arial"/>
      <family val="2"/>
    </font>
    <font>
      <sz val="8"/>
      <name val="Arial"/>
      <family val="2"/>
    </font>
    <font>
      <sz val="12"/>
      <color indexed="8"/>
      <name val="Arial"/>
      <family val="2"/>
    </font>
    <font>
      <b/>
      <sz val="10"/>
      <color rgb="FFFF0000"/>
      <name val="Arial"/>
      <family val="2"/>
    </font>
  </fonts>
  <fills count="10">
    <fill>
      <patternFill patternType="none"/>
    </fill>
    <fill>
      <patternFill patternType="gray125"/>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FFFF00"/>
        <bgColor indexed="64"/>
      </patternFill>
    </fill>
    <fill>
      <patternFill patternType="solid">
        <fgColor rgb="FF00B050"/>
        <bgColor indexed="64"/>
      </patternFill>
    </fill>
  </fills>
  <borders count="68">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n">
        <color indexed="64"/>
      </left>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diagonal/>
    </border>
    <border>
      <left style="thin">
        <color indexed="64"/>
      </left>
      <right/>
      <top/>
      <bottom style="thin">
        <color indexed="64"/>
      </bottom>
      <diagonal/>
    </border>
    <border>
      <left/>
      <right style="thick">
        <color indexed="64"/>
      </right>
      <top/>
      <bottom/>
      <diagonal/>
    </border>
    <border>
      <left style="thick">
        <color indexed="64"/>
      </left>
      <right/>
      <top/>
      <bottom/>
      <diagonal/>
    </border>
    <border>
      <left/>
      <right style="thin">
        <color indexed="64"/>
      </right>
      <top style="thin">
        <color indexed="64"/>
      </top>
      <bottom/>
      <diagonal/>
    </border>
    <border>
      <left style="thin">
        <color indexed="64"/>
      </left>
      <right style="thick">
        <color indexed="64"/>
      </right>
      <top/>
      <bottom/>
      <diagonal/>
    </border>
    <border>
      <left/>
      <right style="thin">
        <color indexed="64"/>
      </right>
      <top/>
      <bottom/>
      <diagonal/>
    </border>
    <border>
      <left style="thin">
        <color indexed="64"/>
      </left>
      <right style="thick">
        <color indexed="64"/>
      </right>
      <top/>
      <bottom style="thin">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diagonal/>
    </border>
    <border>
      <left style="thick">
        <color indexed="64"/>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8"/>
      </left>
      <right style="thin">
        <color indexed="8"/>
      </right>
      <top/>
      <bottom/>
      <diagonal/>
    </border>
    <border>
      <left style="thick">
        <color indexed="64"/>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style="thick">
        <color indexed="64"/>
      </bottom>
      <diagonal/>
    </border>
    <border>
      <left style="thin">
        <color indexed="64"/>
      </left>
      <right/>
      <top style="thick">
        <color indexed="64"/>
      </top>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n">
        <color indexed="64"/>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s>
  <cellStyleXfs count="4">
    <xf numFmtId="0" fontId="0" fillId="0" borderId="0"/>
    <xf numFmtId="0" fontId="13" fillId="0" borderId="0"/>
    <xf numFmtId="0" fontId="3" fillId="0" borderId="0"/>
    <xf numFmtId="0" fontId="13" fillId="0" borderId="0"/>
  </cellStyleXfs>
  <cellXfs count="269">
    <xf numFmtId="0" fontId="0" fillId="0" borderId="0" xfId="0"/>
    <xf numFmtId="0" fontId="2" fillId="0" borderId="0" xfId="2" applyFont="1"/>
    <xf numFmtId="0" fontId="3" fillId="0" borderId="0" xfId="2"/>
    <xf numFmtId="0" fontId="4" fillId="0" borderId="0" xfId="0" applyFont="1"/>
    <xf numFmtId="0" fontId="5" fillId="0" borderId="0" xfId="2" applyFont="1"/>
    <xf numFmtId="0" fontId="3" fillId="0" borderId="0" xfId="2" applyAlignment="1">
      <alignment horizontal="centerContinuous"/>
    </xf>
    <xf numFmtId="0" fontId="6" fillId="0" borderId="0" xfId="2" applyFont="1"/>
    <xf numFmtId="0" fontId="7" fillId="0" borderId="0" xfId="2" applyFont="1"/>
    <xf numFmtId="0" fontId="8" fillId="0" borderId="0" xfId="2" applyFont="1"/>
    <xf numFmtId="0" fontId="9" fillId="0" borderId="2" xfId="2" applyFont="1" applyBorder="1"/>
    <xf numFmtId="0" fontId="2" fillId="0" borderId="2" xfId="2" applyFont="1" applyBorder="1"/>
    <xf numFmtId="0" fontId="10" fillId="0" borderId="0" xfId="2" applyFont="1" applyAlignment="1">
      <alignment horizontal="left"/>
    </xf>
    <xf numFmtId="0" fontId="10" fillId="0" borderId="3" xfId="2" applyFont="1" applyBorder="1" applyAlignment="1">
      <alignment horizontal="centerContinuous"/>
    </xf>
    <xf numFmtId="0" fontId="10" fillId="0" borderId="4" xfId="2" applyFont="1" applyBorder="1"/>
    <xf numFmtId="0" fontId="10" fillId="0" borderId="0" xfId="2" applyFont="1" applyBorder="1"/>
    <xf numFmtId="0" fontId="10" fillId="0" borderId="5" xfId="2" applyFont="1" applyBorder="1" applyAlignment="1">
      <alignment horizontal="centerContinuous"/>
    </xf>
    <xf numFmtId="0" fontId="10" fillId="0" borderId="6" xfId="2" applyFont="1" applyBorder="1" applyAlignment="1">
      <alignment horizontal="center"/>
    </xf>
    <xf numFmtId="0" fontId="10" fillId="0" borderId="7" xfId="2" applyFont="1" applyBorder="1" applyAlignment="1">
      <alignment horizontal="center"/>
    </xf>
    <xf numFmtId="0" fontId="10" fillId="0" borderId="8" xfId="2" applyFont="1" applyBorder="1" applyAlignment="1">
      <alignment horizontal="centerContinuous"/>
    </xf>
    <xf numFmtId="0" fontId="10" fillId="0" borderId="0" xfId="2" applyFont="1" applyBorder="1" applyAlignment="1">
      <alignment horizontal="center"/>
    </xf>
    <xf numFmtId="0" fontId="10" fillId="0" borderId="0" xfId="2" applyFont="1" applyBorder="1" applyAlignment="1">
      <alignment horizontal="centerContinuous"/>
    </xf>
    <xf numFmtId="0" fontId="10" fillId="0" borderId="0" xfId="2" applyFont="1"/>
    <xf numFmtId="0" fontId="10" fillId="0" borderId="0" xfId="2" applyFont="1" applyAlignment="1">
      <alignment horizontal="center"/>
    </xf>
    <xf numFmtId="0" fontId="10" fillId="0" borderId="0" xfId="2" applyFont="1" applyAlignment="1">
      <alignment horizontal="centerContinuous"/>
    </xf>
    <xf numFmtId="0" fontId="10" fillId="2" borderId="9" xfId="2" applyFont="1" applyFill="1" applyBorder="1"/>
    <xf numFmtId="0" fontId="10" fillId="0" borderId="9" xfId="2" applyFont="1" applyBorder="1" applyAlignment="1">
      <alignment horizontal="centerContinuous"/>
    </xf>
    <xf numFmtId="0" fontId="3" fillId="2" borderId="9" xfId="2" applyFill="1" applyBorder="1"/>
    <xf numFmtId="0" fontId="10" fillId="0" borderId="9" xfId="2" applyFont="1" applyBorder="1"/>
    <xf numFmtId="0" fontId="9" fillId="0" borderId="0" xfId="2" applyFont="1" applyAlignment="1">
      <alignment horizontal="center"/>
    </xf>
    <xf numFmtId="0" fontId="9" fillId="0" borderId="0" xfId="2" applyFont="1" applyAlignment="1">
      <alignment horizontal="centerContinuous"/>
    </xf>
    <xf numFmtId="0" fontId="9" fillId="0" borderId="0" xfId="2" applyFont="1" applyBorder="1" applyAlignment="1">
      <alignment horizontal="center"/>
    </xf>
    <xf numFmtId="0" fontId="10" fillId="0" borderId="10" xfId="2" applyFont="1" applyBorder="1"/>
    <xf numFmtId="0" fontId="10" fillId="0" borderId="10" xfId="2" applyFont="1" applyBorder="1" applyAlignment="1">
      <alignment horizontal="centerContinuous"/>
    </xf>
    <xf numFmtId="0" fontId="3" fillId="0" borderId="0" xfId="2" applyFont="1"/>
    <xf numFmtId="1" fontId="10" fillId="3" borderId="11" xfId="2" applyNumberFormat="1" applyFont="1" applyFill="1" applyBorder="1" applyAlignment="1">
      <alignment horizontal="centerContinuous"/>
    </xf>
    <xf numFmtId="1" fontId="10" fillId="3" borderId="12" xfId="2" applyNumberFormat="1" applyFont="1" applyFill="1" applyBorder="1"/>
    <xf numFmtId="1" fontId="10" fillId="3" borderId="13" xfId="2" applyNumberFormat="1" applyFont="1" applyFill="1" applyBorder="1"/>
    <xf numFmtId="1" fontId="3" fillId="3" borderId="14" xfId="2" applyNumberFormat="1" applyFill="1" applyBorder="1"/>
    <xf numFmtId="1" fontId="10" fillId="3" borderId="15" xfId="2" applyNumberFormat="1" applyFont="1" applyFill="1" applyBorder="1"/>
    <xf numFmtId="1" fontId="10" fillId="3" borderId="16" xfId="2" applyNumberFormat="1" applyFont="1" applyFill="1" applyBorder="1"/>
    <xf numFmtId="1" fontId="10" fillId="3" borderId="17" xfId="2" applyNumberFormat="1" applyFont="1" applyFill="1" applyBorder="1"/>
    <xf numFmtId="1" fontId="10" fillId="3" borderId="18" xfId="2" applyNumberFormat="1" applyFont="1" applyFill="1" applyBorder="1" applyAlignment="1">
      <alignment horizontal="right"/>
    </xf>
    <xf numFmtId="1" fontId="10" fillId="3" borderId="19" xfId="2" applyNumberFormat="1" applyFont="1" applyFill="1" applyBorder="1"/>
    <xf numFmtId="1" fontId="10" fillId="3" borderId="20" xfId="2" applyNumberFormat="1" applyFont="1" applyFill="1" applyBorder="1" applyAlignment="1">
      <alignment horizontal="right"/>
    </xf>
    <xf numFmtId="1" fontId="10" fillId="3" borderId="21" xfId="2" applyNumberFormat="1" applyFont="1" applyFill="1" applyBorder="1"/>
    <xf numFmtId="1" fontId="10" fillId="3" borderId="10" xfId="2" applyNumberFormat="1" applyFont="1" applyFill="1" applyBorder="1" applyAlignment="1">
      <alignment horizontal="right"/>
    </xf>
    <xf numFmtId="1" fontId="10" fillId="3" borderId="22" xfId="2" applyNumberFormat="1" applyFont="1" applyFill="1" applyBorder="1"/>
    <xf numFmtId="0" fontId="9" fillId="0" borderId="0" xfId="2" applyFont="1"/>
    <xf numFmtId="4" fontId="10" fillId="0" borderId="0" xfId="2" applyNumberFormat="1" applyFont="1"/>
    <xf numFmtId="4" fontId="10" fillId="0" borderId="0" xfId="2" applyNumberFormat="1" applyFont="1" applyAlignment="1">
      <alignment horizontal="right"/>
    </xf>
    <xf numFmtId="4" fontId="10" fillId="0" borderId="23" xfId="2" applyNumberFormat="1" applyFont="1" applyFill="1" applyBorder="1"/>
    <xf numFmtId="4" fontId="10" fillId="0" borderId="24" xfId="2" applyNumberFormat="1" applyFont="1" applyBorder="1"/>
    <xf numFmtId="4" fontId="10" fillId="0" borderId="25" xfId="2" applyNumberFormat="1" applyFont="1" applyFill="1" applyBorder="1"/>
    <xf numFmtId="0" fontId="10" fillId="0" borderId="0" xfId="2" applyFont="1" applyAlignment="1">
      <alignment horizontal="right"/>
    </xf>
    <xf numFmtId="0" fontId="9" fillId="0" borderId="0" xfId="2" applyFont="1" applyAlignment="1">
      <alignment horizontal="left"/>
    </xf>
    <xf numFmtId="0" fontId="10" fillId="3" borderId="26" xfId="2" applyFont="1" applyFill="1" applyBorder="1"/>
    <xf numFmtId="0" fontId="10" fillId="3" borderId="12" xfId="2" applyFont="1" applyFill="1" applyBorder="1" applyAlignment="1">
      <alignment horizontal="right"/>
    </xf>
    <xf numFmtId="0" fontId="10" fillId="3" borderId="12" xfId="2" applyFont="1" applyFill="1" applyBorder="1"/>
    <xf numFmtId="0" fontId="10" fillId="3" borderId="27" xfId="2" applyFont="1" applyFill="1" applyBorder="1"/>
    <xf numFmtId="3" fontId="10" fillId="0" borderId="28" xfId="2" applyNumberFormat="1" applyFont="1" applyBorder="1"/>
    <xf numFmtId="0" fontId="10" fillId="3" borderId="17" xfId="2" applyFont="1" applyFill="1" applyBorder="1"/>
    <xf numFmtId="0" fontId="10" fillId="3" borderId="0" xfId="2" applyFont="1" applyFill="1" applyBorder="1" applyAlignment="1">
      <alignment horizontal="right"/>
    </xf>
    <xf numFmtId="0" fontId="10" fillId="3" borderId="0" xfId="2" applyFont="1" applyFill="1" applyBorder="1"/>
    <xf numFmtId="0" fontId="10" fillId="3" borderId="20" xfId="2" applyFont="1" applyFill="1" applyBorder="1"/>
    <xf numFmtId="3" fontId="10" fillId="0" borderId="29" xfId="2" applyNumberFormat="1" applyFont="1" applyBorder="1"/>
    <xf numFmtId="0" fontId="10" fillId="3" borderId="30" xfId="2" applyFont="1" applyFill="1" applyBorder="1"/>
    <xf numFmtId="0" fontId="10" fillId="3" borderId="10" xfId="2" applyFont="1" applyFill="1" applyBorder="1" applyAlignment="1">
      <alignment horizontal="right"/>
    </xf>
    <xf numFmtId="0" fontId="10" fillId="3" borderId="10" xfId="2" applyFont="1" applyFill="1" applyBorder="1"/>
    <xf numFmtId="3" fontId="10" fillId="0" borderId="31" xfId="2" applyNumberFormat="1" applyFont="1" applyBorder="1"/>
    <xf numFmtId="3" fontId="10" fillId="0" borderId="0" xfId="2" applyNumberFormat="1" applyFont="1"/>
    <xf numFmtId="3" fontId="10" fillId="0" borderId="0" xfId="2" applyNumberFormat="1" applyFont="1" applyAlignment="1">
      <alignment horizontal="right"/>
    </xf>
    <xf numFmtId="164" fontId="10" fillId="0" borderId="32" xfId="2" applyNumberFormat="1" applyFont="1" applyBorder="1" applyAlignment="1">
      <alignment horizontal="right"/>
    </xf>
    <xf numFmtId="164" fontId="10" fillId="0" borderId="33" xfId="2" applyNumberFormat="1" applyFont="1" applyBorder="1" applyAlignment="1">
      <alignment horizontal="right"/>
    </xf>
    <xf numFmtId="164" fontId="10" fillId="0" borderId="34" xfId="2" applyNumberFormat="1" applyFont="1" applyBorder="1" applyAlignment="1">
      <alignment horizontal="right"/>
    </xf>
    <xf numFmtId="4" fontId="10" fillId="0" borderId="9" xfId="2" applyNumberFormat="1" applyFont="1" applyBorder="1" applyAlignment="1">
      <alignment horizontal="right"/>
    </xf>
    <xf numFmtId="4" fontId="10" fillId="0" borderId="34" xfId="2" applyNumberFormat="1" applyFont="1" applyBorder="1" applyAlignment="1">
      <alignment horizontal="right"/>
    </xf>
    <xf numFmtId="4" fontId="10" fillId="0" borderId="35" xfId="2" applyNumberFormat="1" applyFont="1" applyBorder="1" applyAlignment="1">
      <alignment horizontal="right"/>
    </xf>
    <xf numFmtId="4" fontId="10" fillId="3" borderId="36" xfId="2" applyNumberFormat="1" applyFont="1" applyFill="1" applyBorder="1" applyAlignment="1">
      <alignment horizontal="right"/>
    </xf>
    <xf numFmtId="4" fontId="10" fillId="0" borderId="21" xfId="2" applyNumberFormat="1" applyFont="1" applyFill="1" applyBorder="1" applyAlignment="1">
      <alignment horizontal="right"/>
    </xf>
    <xf numFmtId="164" fontId="10" fillId="0" borderId="35" xfId="2" applyNumberFormat="1" applyFont="1" applyBorder="1" applyAlignment="1">
      <alignment horizontal="right"/>
    </xf>
    <xf numFmtId="164" fontId="10" fillId="3" borderId="37" xfId="2" applyNumberFormat="1" applyFont="1" applyFill="1" applyBorder="1" applyAlignment="1">
      <alignment horizontal="right"/>
    </xf>
    <xf numFmtId="164" fontId="10" fillId="0" borderId="21" xfId="2" applyNumberFormat="1" applyFont="1" applyFill="1" applyBorder="1" applyAlignment="1">
      <alignment horizontal="right"/>
    </xf>
    <xf numFmtId="164" fontId="10" fillId="0" borderId="9" xfId="2" applyNumberFormat="1" applyFont="1" applyBorder="1" applyAlignment="1">
      <alignment horizontal="right"/>
    </xf>
    <xf numFmtId="0" fontId="10" fillId="0" borderId="0" xfId="0" applyFont="1" applyAlignment="1"/>
    <xf numFmtId="0" fontId="10" fillId="0" borderId="16" xfId="0" applyFont="1" applyBorder="1" applyAlignment="1"/>
    <xf numFmtId="4" fontId="10" fillId="0" borderId="14" xfId="2" applyNumberFormat="1" applyFont="1" applyBorder="1" applyAlignment="1">
      <alignment horizontal="right"/>
    </xf>
    <xf numFmtId="4" fontId="10" fillId="0" borderId="36" xfId="2" applyNumberFormat="1" applyFont="1" applyBorder="1" applyAlignment="1">
      <alignment horizontal="right"/>
    </xf>
    <xf numFmtId="4" fontId="10" fillId="0" borderId="38" xfId="2" applyNumberFormat="1" applyFont="1" applyBorder="1" applyAlignment="1">
      <alignment horizontal="right"/>
    </xf>
    <xf numFmtId="4" fontId="10" fillId="3" borderId="26" xfId="2" applyNumberFormat="1" applyFont="1" applyFill="1" applyBorder="1" applyAlignment="1">
      <alignment horizontal="right"/>
    </xf>
    <xf numFmtId="4" fontId="10" fillId="3" borderId="12" xfId="2" applyNumberFormat="1" applyFont="1" applyFill="1" applyBorder="1" applyAlignment="1">
      <alignment horizontal="right"/>
    </xf>
    <xf numFmtId="4" fontId="10" fillId="3" borderId="27" xfId="2" applyNumberFormat="1" applyFont="1" applyFill="1" applyBorder="1" applyAlignment="1">
      <alignment horizontal="right"/>
    </xf>
    <xf numFmtId="4" fontId="10" fillId="0" borderId="33" xfId="2" applyNumberFormat="1" applyFont="1" applyBorder="1" applyAlignment="1">
      <alignment horizontal="right"/>
    </xf>
    <xf numFmtId="4" fontId="10" fillId="0" borderId="4" xfId="2" applyNumberFormat="1" applyFont="1" applyBorder="1" applyAlignment="1">
      <alignment horizontal="right"/>
    </xf>
    <xf numFmtId="4" fontId="10" fillId="3" borderId="17" xfId="2" applyNumberFormat="1" applyFont="1" applyFill="1" applyBorder="1" applyAlignment="1">
      <alignment horizontal="right"/>
    </xf>
    <xf numFmtId="4" fontId="10" fillId="3" borderId="0" xfId="2" applyNumberFormat="1" applyFont="1" applyFill="1" applyBorder="1" applyAlignment="1">
      <alignment horizontal="right"/>
    </xf>
    <xf numFmtId="4" fontId="10" fillId="3" borderId="20" xfId="2" applyNumberFormat="1" applyFont="1" applyFill="1" applyBorder="1" applyAlignment="1">
      <alignment horizontal="right"/>
    </xf>
    <xf numFmtId="4" fontId="10" fillId="0" borderId="6" xfId="2" applyNumberFormat="1" applyFont="1" applyBorder="1" applyAlignment="1">
      <alignment horizontal="right"/>
    </xf>
    <xf numFmtId="0" fontId="3" fillId="0" borderId="0" xfId="2" applyAlignment="1">
      <alignment vertical="top"/>
    </xf>
    <xf numFmtId="2" fontId="10" fillId="0" borderId="0" xfId="2" applyNumberFormat="1" applyFont="1" applyAlignment="1">
      <alignment horizontal="left" vertical="top" wrapText="1"/>
    </xf>
    <xf numFmtId="2" fontId="10" fillId="0" borderId="16" xfId="2" applyNumberFormat="1" applyFont="1" applyBorder="1" applyAlignment="1">
      <alignment horizontal="left" vertical="top" wrapText="1"/>
    </xf>
    <xf numFmtId="4" fontId="10" fillId="3" borderId="17" xfId="2" applyNumberFormat="1" applyFont="1" applyFill="1" applyBorder="1" applyAlignment="1">
      <alignment horizontal="right" vertical="top"/>
    </xf>
    <xf numFmtId="4" fontId="10" fillId="3" borderId="0" xfId="2" applyNumberFormat="1" applyFont="1" applyFill="1" applyBorder="1" applyAlignment="1">
      <alignment horizontal="right" vertical="top"/>
    </xf>
    <xf numFmtId="4" fontId="10" fillId="3" borderId="20" xfId="2" applyNumberFormat="1" applyFont="1" applyFill="1" applyBorder="1" applyAlignment="1">
      <alignment horizontal="right" vertical="top"/>
    </xf>
    <xf numFmtId="4" fontId="10" fillId="0" borderId="25" xfId="2" applyNumberFormat="1" applyFont="1" applyBorder="1" applyAlignment="1">
      <alignment horizontal="right" vertical="top"/>
    </xf>
    <xf numFmtId="4" fontId="10" fillId="0" borderId="6" xfId="2" applyNumberFormat="1" applyFont="1" applyBorder="1" applyAlignment="1">
      <alignment horizontal="right" vertical="top"/>
    </xf>
    <xf numFmtId="4" fontId="10" fillId="3" borderId="30" xfId="2" applyNumberFormat="1" applyFont="1" applyFill="1" applyBorder="1" applyAlignment="1">
      <alignment horizontal="right"/>
    </xf>
    <xf numFmtId="4" fontId="10" fillId="3" borderId="10" xfId="2" applyNumberFormat="1" applyFont="1" applyFill="1" applyBorder="1" applyAlignment="1">
      <alignment horizontal="right"/>
    </xf>
    <xf numFmtId="4" fontId="10" fillId="3" borderId="39" xfId="2" applyNumberFormat="1" applyFont="1" applyFill="1" applyBorder="1" applyAlignment="1">
      <alignment horizontal="right"/>
    </xf>
    <xf numFmtId="165" fontId="10" fillId="0" borderId="0" xfId="2" applyNumberFormat="1" applyFont="1" applyAlignment="1">
      <alignment horizontal="right"/>
    </xf>
    <xf numFmtId="4" fontId="10" fillId="0" borderId="40" xfId="2" applyNumberFormat="1" applyFont="1" applyBorder="1" applyAlignment="1">
      <alignment horizontal="right"/>
    </xf>
    <xf numFmtId="0" fontId="10" fillId="0" borderId="0" xfId="2" applyFont="1" applyProtection="1">
      <protection locked="0"/>
    </xf>
    <xf numFmtId="4" fontId="10" fillId="3" borderId="41" xfId="2" applyNumberFormat="1" applyFont="1" applyFill="1" applyBorder="1" applyAlignment="1">
      <alignment horizontal="right"/>
    </xf>
    <xf numFmtId="166" fontId="10" fillId="3" borderId="42" xfId="2" applyNumberFormat="1" applyFont="1" applyFill="1" applyBorder="1" applyAlignment="1">
      <alignment horizontal="right"/>
    </xf>
    <xf numFmtId="166" fontId="10" fillId="0" borderId="31" xfId="2" applyNumberFormat="1" applyFont="1" applyBorder="1" applyAlignment="1">
      <alignment horizontal="right"/>
    </xf>
    <xf numFmtId="0" fontId="0" fillId="0" borderId="0" xfId="0" applyAlignment="1">
      <alignment horizontal="centerContinuous"/>
    </xf>
    <xf numFmtId="0" fontId="13" fillId="0" borderId="1" xfId="3" applyFont="1" applyFill="1" applyBorder="1" applyAlignment="1">
      <alignment horizontal="left"/>
    </xf>
    <xf numFmtId="0" fontId="10" fillId="0" borderId="26" xfId="2" applyFont="1" applyBorder="1"/>
    <xf numFmtId="0" fontId="10" fillId="0" borderId="30" xfId="2" applyFont="1" applyBorder="1"/>
    <xf numFmtId="3" fontId="10" fillId="0" borderId="25" xfId="2" applyNumberFormat="1" applyFont="1" applyBorder="1"/>
    <xf numFmtId="3" fontId="10" fillId="0" borderId="44" xfId="2" applyNumberFormat="1" applyFont="1" applyBorder="1"/>
    <xf numFmtId="3" fontId="10" fillId="0" borderId="40" xfId="2" applyNumberFormat="1" applyFont="1" applyFill="1" applyBorder="1"/>
    <xf numFmtId="3" fontId="10" fillId="0" borderId="45" xfId="2" applyNumberFormat="1" applyFont="1" applyBorder="1" applyAlignment="1">
      <alignment horizontal="right"/>
    </xf>
    <xf numFmtId="3" fontId="10" fillId="0" borderId="46" xfId="2" applyNumberFormat="1" applyFont="1" applyBorder="1"/>
    <xf numFmtId="3" fontId="10" fillId="0" borderId="47" xfId="2" applyNumberFormat="1" applyFont="1" applyBorder="1"/>
    <xf numFmtId="3" fontId="10" fillId="0" borderId="9" xfId="2" applyNumberFormat="1" applyFont="1" applyBorder="1" applyAlignment="1">
      <alignment horizontal="right"/>
    </xf>
    <xf numFmtId="3" fontId="10" fillId="0" borderId="9" xfId="2" applyNumberFormat="1" applyFont="1" applyBorder="1"/>
    <xf numFmtId="3" fontId="10" fillId="0" borderId="48" xfId="2" applyNumberFormat="1" applyFont="1" applyBorder="1" applyAlignment="1">
      <alignment horizontal="right"/>
    </xf>
    <xf numFmtId="3" fontId="10" fillId="0" borderId="49" xfId="2" applyNumberFormat="1" applyFont="1" applyFill="1" applyBorder="1"/>
    <xf numFmtId="4" fontId="10" fillId="0" borderId="50" xfId="2" applyNumberFormat="1" applyFont="1" applyFill="1" applyBorder="1"/>
    <xf numFmtId="4" fontId="10" fillId="0" borderId="51" xfId="2" applyNumberFormat="1" applyFont="1" applyBorder="1"/>
    <xf numFmtId="4" fontId="10" fillId="0" borderId="4" xfId="2" applyNumberFormat="1" applyFont="1" applyBorder="1"/>
    <xf numFmtId="4" fontId="10" fillId="0" borderId="52" xfId="2" applyNumberFormat="1" applyFont="1" applyFill="1" applyBorder="1"/>
    <xf numFmtId="4" fontId="10" fillId="0" borderId="53" xfId="2" applyNumberFormat="1" applyFont="1" applyFill="1" applyBorder="1" applyAlignment="1">
      <alignment horizontal="right"/>
    </xf>
    <xf numFmtId="4" fontId="10" fillId="0" borderId="54" xfId="2" applyNumberFormat="1" applyFont="1" applyFill="1" applyBorder="1" applyAlignment="1">
      <alignment horizontal="right"/>
    </xf>
    <xf numFmtId="4" fontId="10" fillId="0" borderId="9" xfId="2" applyNumberFormat="1" applyFont="1" applyFill="1" applyBorder="1" applyAlignment="1">
      <alignment horizontal="right"/>
    </xf>
    <xf numFmtId="4" fontId="10" fillId="0" borderId="55" xfId="2" applyNumberFormat="1" applyFont="1" applyBorder="1" applyAlignment="1">
      <alignment horizontal="right"/>
    </xf>
    <xf numFmtId="4" fontId="10" fillId="0" borderId="18" xfId="2" applyNumberFormat="1" applyFont="1" applyBorder="1" applyAlignment="1">
      <alignment horizontal="right"/>
    </xf>
    <xf numFmtId="4" fontId="10" fillId="0" borderId="53" xfId="2" applyNumberFormat="1" applyFont="1" applyBorder="1" applyAlignment="1">
      <alignment horizontal="right"/>
    </xf>
    <xf numFmtId="4" fontId="10" fillId="0" borderId="57" xfId="2" applyNumberFormat="1" applyFont="1" applyBorder="1" applyAlignment="1">
      <alignment horizontal="right"/>
    </xf>
    <xf numFmtId="4" fontId="10" fillId="0" borderId="58" xfId="2" applyNumberFormat="1" applyFont="1" applyBorder="1" applyAlignment="1">
      <alignment horizontal="right"/>
    </xf>
    <xf numFmtId="4" fontId="10" fillId="0" borderId="59" xfId="2" applyNumberFormat="1" applyFont="1" applyBorder="1" applyAlignment="1">
      <alignment horizontal="right"/>
    </xf>
    <xf numFmtId="4" fontId="10" fillId="0" borderId="60" xfId="2" applyNumberFormat="1" applyFont="1" applyBorder="1" applyAlignment="1">
      <alignment horizontal="right"/>
    </xf>
    <xf numFmtId="4" fontId="10" fillId="0" borderId="45" xfId="2" applyNumberFormat="1" applyFont="1" applyBorder="1" applyAlignment="1">
      <alignment horizontal="right"/>
    </xf>
    <xf numFmtId="164" fontId="10" fillId="0" borderId="61" xfId="2" applyNumberFormat="1" applyFont="1" applyBorder="1" applyAlignment="1">
      <alignment horizontal="right"/>
    </xf>
    <xf numFmtId="0" fontId="10" fillId="0" borderId="54" xfId="2" applyFont="1" applyBorder="1"/>
    <xf numFmtId="0" fontId="10" fillId="0" borderId="0" xfId="0" applyFont="1"/>
    <xf numFmtId="4" fontId="0" fillId="0" borderId="0" xfId="0" applyNumberFormat="1"/>
    <xf numFmtId="0" fontId="10" fillId="0" borderId="9" xfId="2" applyFont="1" applyBorder="1" applyAlignment="1">
      <alignment horizontal="center"/>
    </xf>
    <xf numFmtId="0" fontId="10" fillId="0" borderId="9" xfId="2" applyNumberFormat="1" applyFont="1" applyBorder="1" applyAlignment="1">
      <alignment horizontal="center"/>
    </xf>
    <xf numFmtId="0" fontId="10" fillId="0" borderId="30" xfId="2" applyFont="1" applyBorder="1" applyAlignment="1">
      <alignment horizontal="left"/>
    </xf>
    <xf numFmtId="0" fontId="10" fillId="0" borderId="26" xfId="2" applyFont="1" applyBorder="1" applyAlignment="1">
      <alignment horizontal="left"/>
    </xf>
    <xf numFmtId="0" fontId="0" fillId="0" borderId="0" xfId="0" applyFill="1"/>
    <xf numFmtId="4" fontId="0" fillId="0" borderId="0" xfId="0" applyNumberFormat="1" applyFill="1"/>
    <xf numFmtId="0" fontId="0" fillId="0" borderId="62" xfId="0" applyFill="1" applyBorder="1"/>
    <xf numFmtId="0" fontId="0" fillId="0" borderId="63" xfId="0" applyFill="1" applyBorder="1"/>
    <xf numFmtId="4" fontId="0" fillId="0" borderId="20" xfId="0" applyNumberFormat="1" applyFill="1" applyBorder="1"/>
    <xf numFmtId="4" fontId="0" fillId="0" borderId="63" xfId="0" applyNumberFormat="1" applyFill="1" applyBorder="1"/>
    <xf numFmtId="0" fontId="0" fillId="0" borderId="15" xfId="0" applyFill="1" applyBorder="1"/>
    <xf numFmtId="4" fontId="0" fillId="0" borderId="48" xfId="0" applyNumberFormat="1" applyFill="1" applyBorder="1"/>
    <xf numFmtId="4" fontId="0" fillId="0" borderId="0" xfId="0" applyNumberFormat="1" applyFill="1" applyBorder="1"/>
    <xf numFmtId="4" fontId="8" fillId="0" borderId="64" xfId="0" applyNumberFormat="1" applyFont="1" applyFill="1" applyBorder="1" applyAlignment="1">
      <alignment horizontal="center"/>
    </xf>
    <xf numFmtId="0" fontId="0" fillId="0" borderId="64" xfId="0" applyFill="1" applyBorder="1"/>
    <xf numFmtId="4" fontId="8" fillId="0" borderId="0" xfId="0" applyNumberFormat="1" applyFont="1" applyFill="1" applyBorder="1" applyAlignment="1">
      <alignment horizontal="center"/>
    </xf>
    <xf numFmtId="0" fontId="0" fillId="0" borderId="0" xfId="0" applyFill="1" applyBorder="1"/>
    <xf numFmtId="4" fontId="8" fillId="0" borderId="0" xfId="0" applyNumberFormat="1" applyFont="1" applyFill="1" applyBorder="1"/>
    <xf numFmtId="4" fontId="8" fillId="0" borderId="65" xfId="0" applyNumberFormat="1" applyFont="1" applyFill="1" applyBorder="1" applyAlignment="1">
      <alignment horizontal="center"/>
    </xf>
    <xf numFmtId="0" fontId="0" fillId="0" borderId="65" xfId="0" applyFill="1" applyBorder="1"/>
    <xf numFmtId="2" fontId="10" fillId="0" borderId="49" xfId="2" applyNumberFormat="1" applyFont="1" applyFill="1" applyBorder="1"/>
    <xf numFmtId="2" fontId="10" fillId="3" borderId="11" xfId="2" applyNumberFormat="1" applyFont="1" applyFill="1" applyBorder="1" applyAlignment="1">
      <alignment horizontal="centerContinuous"/>
    </xf>
    <xf numFmtId="2" fontId="10" fillId="3" borderId="12" xfId="2" applyNumberFormat="1" applyFont="1" applyFill="1" applyBorder="1"/>
    <xf numFmtId="2" fontId="10" fillId="3" borderId="13" xfId="2" applyNumberFormat="1" applyFont="1" applyFill="1" applyBorder="1"/>
    <xf numFmtId="2" fontId="3" fillId="3" borderId="14" xfId="2" applyNumberFormat="1" applyFill="1" applyBorder="1"/>
    <xf numFmtId="2" fontId="10" fillId="3" borderId="15" xfId="2" applyNumberFormat="1" applyFont="1" applyFill="1" applyBorder="1"/>
    <xf numFmtId="2" fontId="10" fillId="3" borderId="16" xfId="2" applyNumberFormat="1" applyFont="1" applyFill="1" applyBorder="1"/>
    <xf numFmtId="2" fontId="10" fillId="3" borderId="17" xfId="2" applyNumberFormat="1" applyFont="1" applyFill="1" applyBorder="1"/>
    <xf numFmtId="2" fontId="10" fillId="3" borderId="18" xfId="2" applyNumberFormat="1" applyFont="1" applyFill="1" applyBorder="1" applyAlignment="1">
      <alignment horizontal="right"/>
    </xf>
    <xf numFmtId="2" fontId="10" fillId="3" borderId="19" xfId="2" applyNumberFormat="1" applyFont="1" applyFill="1" applyBorder="1"/>
    <xf numFmtId="2" fontId="10" fillId="3" borderId="20" xfId="2" applyNumberFormat="1" applyFont="1" applyFill="1" applyBorder="1" applyAlignment="1">
      <alignment horizontal="right"/>
    </xf>
    <xf numFmtId="2" fontId="10" fillId="3" borderId="21" xfId="2" applyNumberFormat="1" applyFont="1" applyFill="1" applyBorder="1"/>
    <xf numFmtId="2" fontId="10" fillId="3" borderId="10" xfId="2" applyNumberFormat="1" applyFont="1" applyFill="1" applyBorder="1" applyAlignment="1">
      <alignment horizontal="right"/>
    </xf>
    <xf numFmtId="2" fontId="10" fillId="3" borderId="22" xfId="2" applyNumberFormat="1" applyFont="1" applyFill="1" applyBorder="1"/>
    <xf numFmtId="2" fontId="10" fillId="0" borderId="0" xfId="2" applyNumberFormat="1" applyFont="1"/>
    <xf numFmtId="2" fontId="10" fillId="0" borderId="0" xfId="2" applyNumberFormat="1" applyFont="1" applyAlignment="1">
      <alignment horizontal="right"/>
    </xf>
    <xf numFmtId="2" fontId="10" fillId="3" borderId="26" xfId="2" applyNumberFormat="1" applyFont="1" applyFill="1" applyBorder="1"/>
    <xf numFmtId="2" fontId="10" fillId="3" borderId="12" xfId="2" applyNumberFormat="1" applyFont="1" applyFill="1" applyBorder="1" applyAlignment="1">
      <alignment horizontal="right"/>
    </xf>
    <xf numFmtId="2" fontId="10" fillId="3" borderId="27" xfId="2" applyNumberFormat="1" applyFont="1" applyFill="1" applyBorder="1"/>
    <xf numFmtId="2" fontId="10" fillId="3" borderId="0" xfId="2" applyNumberFormat="1" applyFont="1" applyFill="1" applyBorder="1" applyAlignment="1">
      <alignment horizontal="right"/>
    </xf>
    <xf numFmtId="2" fontId="10" fillId="3" borderId="0" xfId="2" applyNumberFormat="1" applyFont="1" applyFill="1" applyBorder="1"/>
    <xf numFmtId="2" fontId="10" fillId="3" borderId="20" xfId="2" applyNumberFormat="1" applyFont="1" applyFill="1" applyBorder="1"/>
    <xf numFmtId="2" fontId="10" fillId="3" borderId="30" xfId="2" applyNumberFormat="1" applyFont="1" applyFill="1" applyBorder="1"/>
    <xf numFmtId="2" fontId="10" fillId="3" borderId="10" xfId="2" applyNumberFormat="1" applyFont="1" applyFill="1" applyBorder="1"/>
    <xf numFmtId="2" fontId="10" fillId="3" borderId="36" xfId="2" applyNumberFormat="1" applyFont="1" applyFill="1" applyBorder="1" applyAlignment="1">
      <alignment horizontal="right"/>
    </xf>
    <xf numFmtId="2" fontId="10" fillId="3" borderId="37" xfId="2" applyNumberFormat="1" applyFont="1" applyFill="1" applyBorder="1" applyAlignment="1">
      <alignment horizontal="right"/>
    </xf>
    <xf numFmtId="2" fontId="10" fillId="3" borderId="26" xfId="2" applyNumberFormat="1" applyFont="1" applyFill="1" applyBorder="1" applyAlignment="1">
      <alignment horizontal="right"/>
    </xf>
    <xf numFmtId="2" fontId="10" fillId="3" borderId="27" xfId="2" applyNumberFormat="1" applyFont="1" applyFill="1" applyBorder="1" applyAlignment="1">
      <alignment horizontal="right"/>
    </xf>
    <xf numFmtId="2" fontId="10" fillId="3" borderId="17" xfId="2" applyNumberFormat="1" applyFont="1" applyFill="1" applyBorder="1" applyAlignment="1">
      <alignment horizontal="right"/>
    </xf>
    <xf numFmtId="2" fontId="10" fillId="3" borderId="17" xfId="2" applyNumberFormat="1" applyFont="1" applyFill="1" applyBorder="1" applyAlignment="1">
      <alignment horizontal="right" vertical="top"/>
    </xf>
    <xf numFmtId="2" fontId="10" fillId="3" borderId="0" xfId="2" applyNumberFormat="1" applyFont="1" applyFill="1" applyBorder="1" applyAlignment="1">
      <alignment horizontal="right" vertical="top"/>
    </xf>
    <xf numFmtId="2" fontId="10" fillId="3" borderId="20" xfId="2" applyNumberFormat="1" applyFont="1" applyFill="1" applyBorder="1" applyAlignment="1">
      <alignment horizontal="right" vertical="top"/>
    </xf>
    <xf numFmtId="2" fontId="10" fillId="3" borderId="30" xfId="2" applyNumberFormat="1" applyFont="1" applyFill="1" applyBorder="1" applyAlignment="1">
      <alignment horizontal="right"/>
    </xf>
    <xf numFmtId="2" fontId="10" fillId="3" borderId="39" xfId="2" applyNumberFormat="1" applyFont="1" applyFill="1" applyBorder="1" applyAlignment="1">
      <alignment horizontal="right"/>
    </xf>
    <xf numFmtId="4" fontId="0" fillId="5" borderId="20" xfId="0" applyNumberFormat="1" applyFill="1" applyBorder="1"/>
    <xf numFmtId="4" fontId="0" fillId="5" borderId="48" xfId="0" applyNumberFormat="1" applyFill="1" applyBorder="1"/>
    <xf numFmtId="4" fontId="0" fillId="5" borderId="65" xfId="0" applyNumberFormat="1" applyFill="1" applyBorder="1"/>
    <xf numFmtId="4" fontId="0" fillId="5" borderId="18" xfId="0" applyNumberFormat="1" applyFill="1" applyBorder="1"/>
    <xf numFmtId="4" fontId="0" fillId="5" borderId="64" xfId="0" applyNumberFormat="1" applyFill="1" applyBorder="1"/>
    <xf numFmtId="4" fontId="0" fillId="5" borderId="0" xfId="0" applyNumberFormat="1" applyFill="1" applyBorder="1"/>
    <xf numFmtId="0" fontId="13" fillId="0" borderId="9" xfId="1" applyFont="1" applyFill="1" applyBorder="1" applyAlignment="1">
      <alignment horizontal="left" wrapText="1"/>
    </xf>
    <xf numFmtId="4" fontId="0" fillId="5" borderId="0" xfId="0" applyNumberFormat="1" applyFill="1"/>
    <xf numFmtId="0" fontId="0" fillId="6" borderId="0" xfId="0" applyFill="1"/>
    <xf numFmtId="4" fontId="0" fillId="6" borderId="20" xfId="0" applyNumberFormat="1" applyFill="1" applyBorder="1"/>
    <xf numFmtId="4" fontId="1" fillId="6" borderId="48" xfId="0" applyNumberFormat="1" applyFont="1" applyFill="1" applyBorder="1"/>
    <xf numFmtId="4" fontId="0" fillId="6" borderId="48" xfId="0" applyNumberFormat="1" applyFill="1" applyBorder="1"/>
    <xf numFmtId="4" fontId="0" fillId="6" borderId="18" xfId="0" applyNumberFormat="1" applyFill="1" applyBorder="1"/>
    <xf numFmtId="4" fontId="0" fillId="6" borderId="64" xfId="0" applyNumberFormat="1" applyFill="1" applyBorder="1"/>
    <xf numFmtId="4" fontId="0" fillId="6" borderId="0" xfId="0" applyNumberFormat="1" applyFill="1" applyBorder="1"/>
    <xf numFmtId="0" fontId="14" fillId="0" borderId="0" xfId="0" applyFont="1" applyFill="1"/>
    <xf numFmtId="4" fontId="0" fillId="6" borderId="0" xfId="0" applyNumberFormat="1" applyFill="1"/>
    <xf numFmtId="4" fontId="0" fillId="0" borderId="36" xfId="0" applyNumberFormat="1" applyFill="1" applyBorder="1"/>
    <xf numFmtId="4" fontId="0" fillId="0" borderId="67" xfId="0" applyNumberFormat="1" applyFill="1" applyBorder="1"/>
    <xf numFmtId="4" fontId="0" fillId="0" borderId="37" xfId="0" applyNumberFormat="1" applyFill="1" applyBorder="1"/>
    <xf numFmtId="0" fontId="0" fillId="0" borderId="67" xfId="0" applyFill="1" applyBorder="1"/>
    <xf numFmtId="4" fontId="0" fillId="6" borderId="48" xfId="0" applyNumberFormat="1" applyFill="1" applyBorder="1"/>
    <xf numFmtId="11" fontId="13" fillId="0" borderId="1" xfId="3" applyNumberFormat="1" applyFont="1" applyFill="1" applyBorder="1" applyAlignment="1">
      <alignment horizontal="left"/>
    </xf>
    <xf numFmtId="4" fontId="0" fillId="7" borderId="0" xfId="0" applyNumberFormat="1" applyFill="1" applyBorder="1"/>
    <xf numFmtId="0" fontId="0" fillId="0" borderId="0" xfId="0" applyFont="1" applyFill="1" applyBorder="1"/>
    <xf numFmtId="0" fontId="16" fillId="4" borderId="66" xfId="3" applyFont="1" applyFill="1" applyBorder="1" applyAlignment="1">
      <alignment horizontal="center"/>
    </xf>
    <xf numFmtId="0" fontId="16" fillId="4" borderId="66" xfId="1" applyFont="1" applyFill="1" applyBorder="1" applyAlignment="1">
      <alignment horizontal="center"/>
    </xf>
    <xf numFmtId="4" fontId="16" fillId="4" borderId="66" xfId="1" applyNumberFormat="1" applyFont="1" applyFill="1" applyBorder="1" applyAlignment="1">
      <alignment horizontal="center"/>
    </xf>
    <xf numFmtId="169" fontId="16" fillId="4" borderId="66" xfId="1" applyNumberFormat="1" applyFont="1" applyFill="1" applyBorder="1" applyAlignment="1">
      <alignment horizontal="center"/>
    </xf>
    <xf numFmtId="168" fontId="16" fillId="4" borderId="66" xfId="1" applyNumberFormat="1" applyFont="1" applyFill="1" applyBorder="1" applyAlignment="1">
      <alignment horizontal="center"/>
    </xf>
    <xf numFmtId="0" fontId="16" fillId="4" borderId="43" xfId="3" applyFont="1" applyFill="1" applyBorder="1" applyAlignment="1">
      <alignment horizontal="center"/>
    </xf>
    <xf numFmtId="4" fontId="16" fillId="4" borderId="43" xfId="1" applyNumberFormat="1" applyFont="1" applyFill="1" applyBorder="1" applyAlignment="1">
      <alignment horizontal="center"/>
    </xf>
    <xf numFmtId="0" fontId="3" fillId="0" borderId="0" xfId="0" applyFont="1" applyAlignment="1"/>
    <xf numFmtId="0" fontId="16" fillId="0" borderId="9" xfId="3" applyFont="1" applyFill="1" applyBorder="1" applyAlignment="1">
      <alignment horizontal="left"/>
    </xf>
    <xf numFmtId="0" fontId="16" fillId="0" borderId="9" xfId="1" applyFont="1" applyFill="1" applyBorder="1" applyAlignment="1">
      <alignment horizontal="left" wrapText="1"/>
    </xf>
    <xf numFmtId="0" fontId="16" fillId="0" borderId="9" xfId="1" applyFont="1" applyFill="1" applyBorder="1" applyAlignment="1">
      <alignment horizontal="right" wrapText="1"/>
    </xf>
    <xf numFmtId="4" fontId="16" fillId="0" borderId="9" xfId="1" applyNumberFormat="1" applyFont="1" applyFill="1" applyBorder="1" applyAlignment="1">
      <alignment horizontal="left" wrapText="1"/>
    </xf>
    <xf numFmtId="4" fontId="16" fillId="0" borderId="9" xfId="1" applyNumberFormat="1" applyFont="1" applyFill="1" applyBorder="1" applyAlignment="1">
      <alignment horizontal="right" wrapText="1"/>
    </xf>
    <xf numFmtId="169" fontId="16" fillId="0" borderId="9" xfId="1" applyNumberFormat="1" applyFont="1" applyFill="1" applyBorder="1" applyAlignment="1">
      <alignment horizontal="right" wrapText="1"/>
    </xf>
    <xf numFmtId="168" fontId="16" fillId="0" borderId="9" xfId="1" applyNumberFormat="1" applyFont="1" applyFill="1" applyBorder="1" applyAlignment="1">
      <alignment horizontal="right" wrapText="1"/>
    </xf>
    <xf numFmtId="0" fontId="3" fillId="0" borderId="9" xfId="0" applyFont="1" applyBorder="1" applyAlignment="1"/>
    <xf numFmtId="0" fontId="3" fillId="0" borderId="0" xfId="0" applyFont="1" applyFill="1" applyBorder="1" applyAlignment="1"/>
    <xf numFmtId="4" fontId="3" fillId="0" borderId="9" xfId="0" applyNumberFormat="1" applyFont="1" applyBorder="1" applyAlignment="1"/>
    <xf numFmtId="169" fontId="3" fillId="0" borderId="9" xfId="0" applyNumberFormat="1" applyFont="1" applyBorder="1" applyAlignment="1"/>
    <xf numFmtId="167" fontId="3" fillId="0" borderId="9" xfId="0" applyNumberFormat="1" applyFont="1" applyBorder="1" applyAlignment="1"/>
    <xf numFmtId="168" fontId="3" fillId="0" borderId="9" xfId="0" applyNumberFormat="1" applyFont="1" applyBorder="1" applyAlignment="1"/>
    <xf numFmtId="4" fontId="3" fillId="0" borderId="0" xfId="0" applyNumberFormat="1" applyFont="1" applyAlignment="1"/>
    <xf numFmtId="169" fontId="3" fillId="0" borderId="0" xfId="0" applyNumberFormat="1" applyFont="1" applyAlignment="1"/>
    <xf numFmtId="167" fontId="3" fillId="0" borderId="0" xfId="0" applyNumberFormat="1" applyFont="1" applyAlignment="1"/>
    <xf numFmtId="168" fontId="3" fillId="0" borderId="0" xfId="0" applyNumberFormat="1" applyFont="1" applyAlignment="1"/>
    <xf numFmtId="0" fontId="16" fillId="4" borderId="66" xfId="1" applyFont="1" applyFill="1" applyBorder="1" applyAlignment="1">
      <alignment horizontal="left"/>
    </xf>
    <xf numFmtId="0" fontId="3" fillId="0" borderId="9" xfId="0" applyFont="1" applyBorder="1" applyAlignment="1">
      <alignment horizontal="left"/>
    </xf>
    <xf numFmtId="0" fontId="3" fillId="0" borderId="0" xfId="0" applyFont="1" applyAlignment="1">
      <alignment horizontal="left"/>
    </xf>
    <xf numFmtId="0" fontId="3" fillId="0" borderId="9" xfId="0" applyFont="1" applyFill="1" applyBorder="1" applyAlignment="1"/>
    <xf numFmtId="3" fontId="10" fillId="0" borderId="51" xfId="2" applyNumberFormat="1" applyFont="1" applyBorder="1"/>
    <xf numFmtId="3" fontId="10" fillId="0" borderId="4" xfId="2" applyNumberFormat="1" applyFont="1" applyBorder="1"/>
    <xf numFmtId="3" fontId="10" fillId="0" borderId="25" xfId="2" applyNumberFormat="1" applyFont="1" applyFill="1" applyBorder="1"/>
    <xf numFmtId="3" fontId="10" fillId="0" borderId="50" xfId="2" applyNumberFormat="1" applyFont="1" applyFill="1" applyBorder="1"/>
    <xf numFmtId="3" fontId="10" fillId="0" borderId="23" xfId="2" applyNumberFormat="1" applyFont="1" applyFill="1" applyBorder="1"/>
    <xf numFmtId="3" fontId="10" fillId="0" borderId="24" xfId="2" applyNumberFormat="1" applyFont="1" applyBorder="1"/>
    <xf numFmtId="3" fontId="10" fillId="0" borderId="52" xfId="2" applyNumberFormat="1" applyFont="1" applyFill="1" applyBorder="1"/>
    <xf numFmtId="168" fontId="0" fillId="0" borderId="0" xfId="0" applyNumberFormat="1"/>
    <xf numFmtId="0" fontId="1" fillId="0" borderId="63" xfId="0" applyFont="1" applyFill="1" applyBorder="1"/>
    <xf numFmtId="0" fontId="14" fillId="8" borderId="0" xfId="0" applyFont="1" applyFill="1"/>
    <xf numFmtId="0" fontId="1" fillId="0" borderId="62" xfId="0" applyFont="1" applyFill="1" applyBorder="1"/>
    <xf numFmtId="4" fontId="10" fillId="9" borderId="56" xfId="2" applyNumberFormat="1" applyFont="1" applyFill="1" applyBorder="1" applyAlignment="1">
      <alignment horizontal="right"/>
    </xf>
    <xf numFmtId="170" fontId="10" fillId="0" borderId="49" xfId="2" applyNumberFormat="1" applyFont="1" applyFill="1" applyBorder="1"/>
    <xf numFmtId="4" fontId="0" fillId="0" borderId="18" xfId="0" applyNumberFormat="1" applyFill="1" applyBorder="1"/>
  </cellXfs>
  <cellStyles count="4">
    <cellStyle name="Normal" xfId="0" builtinId="0"/>
    <cellStyle name="Normal_Raw Data" xfId="1"/>
    <cellStyle name="Normal_sal0102correct" xfId="2"/>
    <cellStyle name="Normal_Sheet1" xfId="3"/>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abSelected="1" zoomScale="70" zoomScaleNormal="70" workbookViewId="0">
      <selection activeCell="A2" sqref="A2"/>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
        <v>271</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207" t="s">
        <v>222</v>
      </c>
    </row>
    <row r="6" spans="1:8" ht="15.75" thickTop="1" x14ac:dyDescent="0.2">
      <c r="A6" s="2">
        <v>1</v>
      </c>
      <c r="B6" s="11" t="s">
        <v>3</v>
      </c>
      <c r="C6" s="150">
        <f>VLOOKUP(H5,'Raw Data'!A:BX,2,FALSE)</f>
        <v>70000071</v>
      </c>
      <c r="D6" s="12"/>
      <c r="E6" s="13"/>
      <c r="F6" s="2"/>
      <c r="G6" s="14"/>
      <c r="H6" s="14"/>
    </row>
    <row r="7" spans="1:8" ht="15" x14ac:dyDescent="0.2">
      <c r="A7" s="2">
        <v>2</v>
      </c>
      <c r="B7" s="11" t="s">
        <v>4</v>
      </c>
      <c r="C7" s="144" t="str">
        <f>VLOOKUP(H5,'Raw Data'!A:BX,4,FALSE)</f>
        <v>101 - CROOK COUNTY</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0</v>
      </c>
      <c r="E21" s="121">
        <f>SUM(E17)</f>
        <v>0</v>
      </c>
      <c r="F21" s="68">
        <f>SUM(F18:F19)</f>
        <v>0</v>
      </c>
      <c r="G21" s="68">
        <f>SUM(G20)</f>
        <v>0</v>
      </c>
      <c r="H21" s="68">
        <f>SUM(D21:G21)</f>
        <v>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0</v>
      </c>
      <c r="H25" s="128">
        <f>+H21-H24</f>
        <v>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2334962000</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2334962000</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3.8702000000000003E-3</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0</v>
      </c>
      <c r="H35" s="143">
        <f>SUM(D35:G35)</f>
        <v>3.8702000000000003E-3</v>
      </c>
    </row>
    <row r="36" spans="1:8" ht="15" x14ac:dyDescent="0.2">
      <c r="A36" s="2">
        <f t="shared" ref="A36:A41" si="0">+A35+1</f>
        <v>19</v>
      </c>
      <c r="B36" s="21" t="s">
        <v>34</v>
      </c>
      <c r="C36" s="21"/>
      <c r="D36" s="76">
        <f>$H$32*D35</f>
        <v>9036769.9324000012</v>
      </c>
      <c r="E36" s="74">
        <f>+$H$32*E35</f>
        <v>0</v>
      </c>
      <c r="F36" s="74">
        <f>+$H$32*F35</f>
        <v>0</v>
      </c>
      <c r="G36" s="74">
        <f>+$H$32*G35</f>
        <v>0</v>
      </c>
      <c r="H36" s="75">
        <f>SUM(D36:G36)</f>
        <v>9036769.9324000012</v>
      </c>
    </row>
    <row r="37" spans="1:8" ht="15" x14ac:dyDescent="0.2">
      <c r="A37" s="2">
        <f t="shared" si="0"/>
        <v>20</v>
      </c>
      <c r="B37" s="21" t="s">
        <v>35</v>
      </c>
      <c r="C37" s="21"/>
      <c r="D37" s="133">
        <f>IF(D25&lt;&gt;0,+D36-D25,0)</f>
        <v>0</v>
      </c>
      <c r="E37" s="134">
        <f>IF(E25&lt;&gt;0,+E36-E25,0)</f>
        <v>0</v>
      </c>
      <c r="F37" s="132">
        <f>IF(F25&lt;&gt;0,+F36-F25,0)</f>
        <v>0</v>
      </c>
      <c r="G37" s="132">
        <f>IF(G25&lt;&gt;0,+G36-G25,0)</f>
        <v>0</v>
      </c>
      <c r="H37" s="75">
        <f>SUM(D37:G37)</f>
        <v>0</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 + D38/$H$32*10000000)/10000000</f>
        <v>0</v>
      </c>
      <c r="E39" s="80"/>
      <c r="F39" s="80"/>
      <c r="G39" s="80"/>
      <c r="H39" s="81">
        <f>D39</f>
        <v>0</v>
      </c>
    </row>
    <row r="40" spans="1:8" ht="15" x14ac:dyDescent="0.2">
      <c r="A40" s="2">
        <f t="shared" si="0"/>
        <v>23</v>
      </c>
      <c r="B40" s="21" t="s">
        <v>38</v>
      </c>
      <c r="C40" s="21"/>
      <c r="D40" s="79">
        <f>D35-D39</f>
        <v>3.8702000000000003E-3</v>
      </c>
      <c r="E40" s="82">
        <f>E35</f>
        <v>0</v>
      </c>
      <c r="F40" s="82">
        <f>F35</f>
        <v>0</v>
      </c>
      <c r="G40" s="82">
        <f>G35</f>
        <v>0</v>
      </c>
      <c r="H40" s="73">
        <f t="shared" ref="H40:H46" si="1">SUM(D40:G40)</f>
        <v>3.8702000000000003E-3</v>
      </c>
    </row>
    <row r="41" spans="1:8" ht="15" x14ac:dyDescent="0.2">
      <c r="A41" s="2">
        <f t="shared" si="0"/>
        <v>24</v>
      </c>
      <c r="B41" s="21" t="s">
        <v>39</v>
      </c>
      <c r="C41" s="21"/>
      <c r="D41" s="76">
        <f>ROUND(+D40*$H$32,2)</f>
        <v>9036769.9299999997</v>
      </c>
      <c r="E41" s="74">
        <f>ROUND(+E40*$H$32,2)</f>
        <v>0</v>
      </c>
      <c r="F41" s="74">
        <f>ROUND(+F40*$H$32,2)</f>
        <v>0</v>
      </c>
      <c r="G41" s="74">
        <f>ROUND(+G40*$H$32,2)</f>
        <v>0</v>
      </c>
      <c r="H41" s="75">
        <f t="shared" si="1"/>
        <v>9036769.9299999997</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9036769.9299999997</v>
      </c>
      <c r="E44" s="74">
        <f>SUM(E41:E43)</f>
        <v>0</v>
      </c>
      <c r="F44" s="74">
        <f>SUM(F41:F43)</f>
        <v>0</v>
      </c>
      <c r="G44" s="136">
        <f>SUM(G41:G43)</f>
        <v>0</v>
      </c>
      <c r="H44" s="75">
        <f t="shared" si="1"/>
        <v>9036769.9299999997</v>
      </c>
    </row>
    <row r="45" spans="1:8" ht="15" x14ac:dyDescent="0.2">
      <c r="A45" s="2">
        <v>25</v>
      </c>
      <c r="B45" s="21" t="s">
        <v>46</v>
      </c>
      <c r="C45" s="21"/>
      <c r="D45" s="135">
        <f>VLOOKUP(H5,'Raw Data'!A:BX,58,FALSE)</f>
        <v>9036769.9299999997</v>
      </c>
      <c r="E45" s="74">
        <f>IF(VLOOKUP(H5,'Raw Data'!A:BX,59,FALSE) = "", 0, VLOOKUP(H5,'Raw Data'!A:BX,59,FALSE))</f>
        <v>0</v>
      </c>
      <c r="F45" s="74">
        <f>IF(VLOOKUP(H5,'Raw Data'!A:BX,60,FALSE) = "", 0, VLOOKUP(H5,'Raw Data'!A:BX,60,FALSE))</f>
        <v>0</v>
      </c>
      <c r="G45" s="136">
        <f>IF(VLOOKUP(H5,'Raw Data'!A:BX,61,FALSE) = "", 0, VLOOKUP(H5,'Raw Data'!A:BX,61,FALSE))</f>
        <v>0</v>
      </c>
      <c r="H45" s="75">
        <f t="shared" si="1"/>
        <v>9036769.9299999997</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-221.18</v>
      </c>
      <c r="E47" s="86">
        <f>VLOOKUP(H5,'Raw Data'!A:BX,63,FALSE)</f>
        <v>0</v>
      </c>
      <c r="F47" s="86">
        <f>VLOOKUP(H5,'Raw Data'!A:BX,64,FALSE)</f>
        <v>0</v>
      </c>
      <c r="G47" s="77"/>
      <c r="H47" s="87">
        <f>SUM(D47:F47)</f>
        <v>-221.18</v>
      </c>
    </row>
    <row r="48" spans="1:8" ht="16.5" thickBot="1" x14ac:dyDescent="0.3">
      <c r="A48" s="2">
        <f>+A47+1</f>
        <v>28</v>
      </c>
      <c r="B48" s="47" t="s">
        <v>49</v>
      </c>
      <c r="C48" s="47"/>
      <c r="D48" s="138">
        <f>SUM(D44,D46:D47)</f>
        <v>9036548.75</v>
      </c>
      <c r="E48" s="140">
        <f>SUM(E44,E46:E47)</f>
        <v>0</v>
      </c>
      <c r="F48" s="140">
        <f>SUM(F44,F46:F47)</f>
        <v>0</v>
      </c>
      <c r="G48" s="139">
        <f>SUM(G44,G46:G47)</f>
        <v>0</v>
      </c>
      <c r="H48" s="266">
        <f>SUM(D48:G48)</f>
        <v>9036548.75</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15697.43</v>
      </c>
      <c r="H51" s="92">
        <f>G51</f>
        <v>15697.43</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22681.15</v>
      </c>
      <c r="H58" s="96">
        <f t="shared" si="3"/>
        <v>22681.15</v>
      </c>
    </row>
    <row r="59" spans="1:8" ht="60.75" thickBot="1" x14ac:dyDescent="0.25">
      <c r="A59" s="97">
        <f t="shared" si="2"/>
        <v>37</v>
      </c>
      <c r="B59" s="98" t="s">
        <v>58</v>
      </c>
      <c r="C59" s="99"/>
      <c r="D59" s="100"/>
      <c r="E59" s="101"/>
      <c r="F59" s="102"/>
      <c r="G59" s="103">
        <f>VLOOKUP(H5,'Raw Data'!A:BX,74,FALSE)</f>
        <v>10359.450000000001</v>
      </c>
      <c r="H59" s="104">
        <f t="shared" si="3"/>
        <v>10359.450000000001</v>
      </c>
    </row>
    <row r="60" spans="1:8" ht="17.25" thickTop="1" thickBot="1" x14ac:dyDescent="0.3">
      <c r="A60" s="2">
        <f t="shared" si="2"/>
        <v>38</v>
      </c>
      <c r="B60" s="47" t="s">
        <v>59</v>
      </c>
      <c r="C60" s="47"/>
      <c r="D60" s="105"/>
      <c r="E60" s="106"/>
      <c r="F60" s="107"/>
      <c r="G60" s="109">
        <f>SUM(G51:G59)</f>
        <v>48738.03</v>
      </c>
      <c r="H60" s="142">
        <f>SUM(H51:H59)</f>
        <v>48738.03</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9036548.75</v>
      </c>
      <c r="E62" s="141">
        <f>E48</f>
        <v>0</v>
      </c>
      <c r="F62" s="141">
        <f>F48</f>
        <v>0</v>
      </c>
      <c r="G62" s="141">
        <f>G48+G60</f>
        <v>48738.03</v>
      </c>
      <c r="H62" s="142">
        <f>H48+H60</f>
        <v>9085286.7799999993</v>
      </c>
    </row>
    <row r="63" spans="1:8" ht="16.5" thickTop="1" thickBot="1" x14ac:dyDescent="0.25">
      <c r="A63" s="2">
        <f>+A62+1</f>
        <v>40</v>
      </c>
      <c r="B63" s="110" t="s">
        <v>61</v>
      </c>
      <c r="C63" s="110"/>
      <c r="D63" s="111"/>
      <c r="E63" s="112"/>
      <c r="F63" s="112"/>
      <c r="G63" s="112"/>
      <c r="H63" s="113">
        <f>VLOOKUP(H5,'Raw Data'!A:BX,75,FALSE)</f>
        <v>0.27833255159999998</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3" zoomScale="70" zoomScaleNormal="70" workbookViewId="0">
      <selection activeCell="H48" sqref="H48"/>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230</v>
      </c>
    </row>
    <row r="6" spans="1:8" ht="15.75" thickTop="1" x14ac:dyDescent="0.2">
      <c r="A6" s="2">
        <v>1</v>
      </c>
      <c r="B6" s="11" t="s">
        <v>3</v>
      </c>
      <c r="C6" s="150">
        <f>VLOOKUP(H5,'Raw Data'!A:BX,2,FALSE)</f>
        <v>70010800</v>
      </c>
      <c r="D6" s="12"/>
      <c r="E6" s="13"/>
      <c r="F6" s="2"/>
      <c r="G6" s="14"/>
      <c r="H6" s="14"/>
    </row>
    <row r="7" spans="1:8" ht="15" x14ac:dyDescent="0.2">
      <c r="A7" s="2">
        <v>2</v>
      </c>
      <c r="B7" s="11" t="s">
        <v>4</v>
      </c>
      <c r="C7" s="144" t="str">
        <f>VLOOKUP(H5,'Raw Data'!A:BX,4,FALSE)</f>
        <v>665 - CROOK CTY CEMETERY</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0</v>
      </c>
      <c r="E21" s="121">
        <f>SUM(E17)</f>
        <v>0</v>
      </c>
      <c r="F21" s="68">
        <f>SUM(F18:F19)</f>
        <v>0</v>
      </c>
      <c r="G21" s="68">
        <f>SUM(G20)</f>
        <v>0</v>
      </c>
      <c r="H21" s="68">
        <f>SUM(D21:G21)</f>
        <v>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0</v>
      </c>
      <c r="H25" s="128">
        <f>+H21-H24</f>
        <v>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2334962000</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2334962000</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9.9400000000000004E-5</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0</v>
      </c>
      <c r="H35" s="143">
        <f>SUM(D35:G35)</f>
        <v>9.9400000000000004E-5</v>
      </c>
    </row>
    <row r="36" spans="1:8" ht="15" x14ac:dyDescent="0.2">
      <c r="A36" s="2">
        <f t="shared" ref="A36:A41" si="0">+A35+1</f>
        <v>19</v>
      </c>
      <c r="B36" s="21" t="s">
        <v>34</v>
      </c>
      <c r="C36" s="21"/>
      <c r="D36" s="76">
        <f>$H$32*D35</f>
        <v>232095.22280000002</v>
      </c>
      <c r="E36" s="74">
        <f>+$H$32*E35</f>
        <v>0</v>
      </c>
      <c r="F36" s="74">
        <f>+$H$32*F35</f>
        <v>0</v>
      </c>
      <c r="G36" s="74">
        <f>+$H$32*G35</f>
        <v>0</v>
      </c>
      <c r="H36" s="75">
        <f>SUM(D36:G36)</f>
        <v>232095.22280000002</v>
      </c>
    </row>
    <row r="37" spans="1:8" ht="15" x14ac:dyDescent="0.2">
      <c r="A37" s="2">
        <f t="shared" si="0"/>
        <v>20</v>
      </c>
      <c r="B37" s="21" t="s">
        <v>35</v>
      </c>
      <c r="C37" s="21"/>
      <c r="D37" s="133">
        <f>IF(D25&lt;&gt;0,+D36-D25,0)</f>
        <v>0</v>
      </c>
      <c r="E37" s="134">
        <f>IF(E25&lt;&gt;0,+E36-E25,0)</f>
        <v>0</v>
      </c>
      <c r="F37" s="132">
        <f>IF(F25&lt;&gt;0,+F36-F25,0)</f>
        <v>0</v>
      </c>
      <c r="G37" s="132">
        <f>IF(G25&lt;&gt;0,+G36-G25,0)</f>
        <v>0</v>
      </c>
      <c r="H37" s="75">
        <f>SUM(D37:G37)</f>
        <v>0</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9.9400000000000004E-5</v>
      </c>
      <c r="E40" s="82">
        <f>E35</f>
        <v>0</v>
      </c>
      <c r="F40" s="82">
        <f>F35</f>
        <v>0</v>
      </c>
      <c r="G40" s="82">
        <f>G35</f>
        <v>0</v>
      </c>
      <c r="H40" s="73">
        <f t="shared" ref="H40:H46" si="1">SUM(D40:G40)</f>
        <v>9.9400000000000004E-5</v>
      </c>
    </row>
    <row r="41" spans="1:8" ht="15" x14ac:dyDescent="0.2">
      <c r="A41" s="2">
        <f t="shared" si="0"/>
        <v>24</v>
      </c>
      <c r="B41" s="21" t="s">
        <v>39</v>
      </c>
      <c r="C41" s="21"/>
      <c r="D41" s="76">
        <f>ROUND(+D40*$H$32,2)</f>
        <v>232095.22</v>
      </c>
      <c r="E41" s="74">
        <f>ROUND(+E40*$H$32,2)</f>
        <v>0</v>
      </c>
      <c r="F41" s="74">
        <f>ROUND(+F40*$H$32,2)</f>
        <v>0</v>
      </c>
      <c r="G41" s="74">
        <f>ROUND(+G40*$H$32,2)</f>
        <v>0</v>
      </c>
      <c r="H41" s="75">
        <f t="shared" si="1"/>
        <v>232095.22</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232095.22</v>
      </c>
      <c r="E44" s="74">
        <f>SUM(E41:E43)</f>
        <v>0</v>
      </c>
      <c r="F44" s="74">
        <f>SUM(F41:F43)</f>
        <v>0</v>
      </c>
      <c r="G44" s="136">
        <f>SUM(G41:G43)</f>
        <v>0</v>
      </c>
      <c r="H44" s="75">
        <f t="shared" si="1"/>
        <v>232095.22</v>
      </c>
    </row>
    <row r="45" spans="1:8" ht="15" x14ac:dyDescent="0.2">
      <c r="A45" s="2">
        <v>25</v>
      </c>
      <c r="B45" s="21" t="s">
        <v>46</v>
      </c>
      <c r="C45" s="21"/>
      <c r="D45" s="135">
        <f>VLOOKUP(H5,'Raw Data'!A:BX,58,FALSE)</f>
        <v>232095.22</v>
      </c>
      <c r="E45" s="74">
        <f>IF(VLOOKUP(H5,'Raw Data'!A:BX,59,FALSE) = "", 0, VLOOKUP(H5,'Raw Data'!A:BX,59,FALSE))</f>
        <v>0</v>
      </c>
      <c r="F45" s="74">
        <f>IF(VLOOKUP(H5,'Raw Data'!A:BX,60,FALSE) = "", 0, VLOOKUP(H5,'Raw Data'!A:BX,60,FALSE))</f>
        <v>0</v>
      </c>
      <c r="G45" s="136">
        <f>IF(VLOOKUP(H5,'Raw Data'!A:BX,61,FALSE) = "", 0, VLOOKUP(H5,'Raw Data'!A:BX,61,FALSE))</f>
        <v>0</v>
      </c>
      <c r="H45" s="75">
        <f t="shared" si="1"/>
        <v>232095.22</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-5.66</v>
      </c>
      <c r="E47" s="86">
        <f>VLOOKUP(H5,'Raw Data'!A:BX,63,FALSE)</f>
        <v>0</v>
      </c>
      <c r="F47" s="86">
        <f>VLOOKUP(H5,'Raw Data'!A:BX,64,FALSE)</f>
        <v>0</v>
      </c>
      <c r="G47" s="77"/>
      <c r="H47" s="87">
        <f>SUM(D47:F47)</f>
        <v>-5.66</v>
      </c>
    </row>
    <row r="48" spans="1:8" ht="16.5" thickBot="1" x14ac:dyDescent="0.3">
      <c r="A48" s="2">
        <f>+A47+1</f>
        <v>28</v>
      </c>
      <c r="B48" s="47" t="s">
        <v>49</v>
      </c>
      <c r="C48" s="47"/>
      <c r="D48" s="138">
        <f>SUM(D44,D46:D47)</f>
        <v>232089.56</v>
      </c>
      <c r="E48" s="140">
        <f>SUM(E44,E46:E47)</f>
        <v>0</v>
      </c>
      <c r="F48" s="140">
        <f>SUM(F44,F46:F47)</f>
        <v>0</v>
      </c>
      <c r="G48" s="139">
        <f>SUM(G44,G46:G47)</f>
        <v>0</v>
      </c>
      <c r="H48" s="266">
        <f>SUM(D48:G48)</f>
        <v>232089.56</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403.16</v>
      </c>
      <c r="H51" s="92">
        <f>G51</f>
        <v>403.16</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266.06</v>
      </c>
      <c r="H59" s="104">
        <f t="shared" si="3"/>
        <v>266.06</v>
      </c>
    </row>
    <row r="60" spans="1:8" ht="17.25" thickTop="1" thickBot="1" x14ac:dyDescent="0.3">
      <c r="A60" s="2">
        <f t="shared" si="2"/>
        <v>38</v>
      </c>
      <c r="B60" s="47" t="s">
        <v>59</v>
      </c>
      <c r="C60" s="47"/>
      <c r="D60" s="105"/>
      <c r="E60" s="106"/>
      <c r="F60" s="107"/>
      <c r="G60" s="109">
        <f>SUM(G51:G59)</f>
        <v>669.22</v>
      </c>
      <c r="H60" s="142">
        <f>SUM(H51:H59)</f>
        <v>669.22</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232089.56</v>
      </c>
      <c r="E62" s="141">
        <f>E48</f>
        <v>0</v>
      </c>
      <c r="F62" s="141">
        <f>F48</f>
        <v>0</v>
      </c>
      <c r="G62" s="141">
        <f>G48+G60</f>
        <v>669.22</v>
      </c>
      <c r="H62" s="142">
        <f>H48+H60</f>
        <v>232758.78</v>
      </c>
    </row>
    <row r="63" spans="1:8" ht="16.5" thickTop="1" thickBot="1" x14ac:dyDescent="0.25">
      <c r="A63" s="2">
        <f>+A62+1</f>
        <v>40</v>
      </c>
      <c r="B63" s="110" t="s">
        <v>61</v>
      </c>
      <c r="C63" s="110"/>
      <c r="D63" s="111"/>
      <c r="E63" s="112"/>
      <c r="F63" s="112"/>
      <c r="G63" s="112"/>
      <c r="H63" s="113">
        <f>VLOOKUP(H5,'Raw Data'!A:BX,75,FALSE)</f>
        <v>7.1306879999999996E-3</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15" type="noConversion"/>
  <pageMargins left="0.7" right="0.7" top="0.75" bottom="0.75" header="0.3" footer="0.3"/>
  <pageSetup scale="45"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6" zoomScale="70" zoomScaleNormal="70" workbookViewId="0">
      <selection activeCell="H48" sqref="H48"/>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231</v>
      </c>
    </row>
    <row r="6" spans="1:8" ht="15.75" thickTop="1" x14ac:dyDescent="0.2">
      <c r="A6" s="2">
        <v>1</v>
      </c>
      <c r="B6" s="11" t="s">
        <v>3</v>
      </c>
      <c r="C6" s="150">
        <f>VLOOKUP(H5,'Raw Data'!A:BX,2,FALSE)</f>
        <v>70007530</v>
      </c>
      <c r="D6" s="12"/>
      <c r="E6" s="13"/>
      <c r="F6" s="2"/>
      <c r="G6" s="14"/>
      <c r="H6" s="14"/>
    </row>
    <row r="7" spans="1:8" ht="15" x14ac:dyDescent="0.2">
      <c r="A7" s="2">
        <v>2</v>
      </c>
      <c r="B7" s="11" t="s">
        <v>4</v>
      </c>
      <c r="C7" s="144" t="str">
        <f>VLOOKUP(H5,'Raw Data'!A:BX,4,FALSE)</f>
        <v>666 - VECTOR CONTROL</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138638</v>
      </c>
      <c r="E16" s="34"/>
      <c r="F16" s="35"/>
      <c r="G16" s="36"/>
      <c r="H16" s="122">
        <f>+D16</f>
        <v>138638</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138638</v>
      </c>
      <c r="E21" s="121">
        <f>SUM(E17)</f>
        <v>0</v>
      </c>
      <c r="F21" s="68">
        <f>SUM(F18:F19)</f>
        <v>0</v>
      </c>
      <c r="G21" s="68">
        <f>SUM(G20)</f>
        <v>0</v>
      </c>
      <c r="H21" s="68">
        <f>SUM(D21:G21)</f>
        <v>138638</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138638</v>
      </c>
      <c r="E25" s="52">
        <f>SUM(E21)-SUM(E24)</f>
        <v>0</v>
      </c>
      <c r="F25" s="52">
        <f>SUM(F21)-SUM(F24)</f>
        <v>0</v>
      </c>
      <c r="G25" s="52">
        <f>SUM(G21)-SUM(G24)</f>
        <v>0</v>
      </c>
      <c r="H25" s="128">
        <f>+H21-H24</f>
        <v>138638</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978900558</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978900558</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1.416E-4</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0</v>
      </c>
      <c r="H35" s="143">
        <f>SUM(D35:G35)</f>
        <v>1.416E-4</v>
      </c>
    </row>
    <row r="36" spans="1:8" ht="15" x14ac:dyDescent="0.2">
      <c r="A36" s="2">
        <f t="shared" ref="A36:A41" si="0">+A35+1</f>
        <v>19</v>
      </c>
      <c r="B36" s="21" t="s">
        <v>34</v>
      </c>
      <c r="C36" s="21"/>
      <c r="D36" s="76">
        <f>$H$32*D35</f>
        <v>138612.3190128</v>
      </c>
      <c r="E36" s="74">
        <f>+$H$32*E35</f>
        <v>0</v>
      </c>
      <c r="F36" s="74">
        <f>+$H$32*F35</f>
        <v>0</v>
      </c>
      <c r="G36" s="74">
        <f>+$H$32*G35</f>
        <v>0</v>
      </c>
      <c r="H36" s="75">
        <f>SUM(D36:G36)</f>
        <v>138612.3190128</v>
      </c>
    </row>
    <row r="37" spans="1:8" ht="15" x14ac:dyDescent="0.2">
      <c r="A37" s="2">
        <f t="shared" si="0"/>
        <v>20</v>
      </c>
      <c r="B37" s="21" t="s">
        <v>35</v>
      </c>
      <c r="C37" s="21"/>
      <c r="D37" s="133">
        <f>IF(D25&lt;&gt;0,+D36-D25,0)</f>
        <v>-25.680987200001255</v>
      </c>
      <c r="E37" s="134">
        <f>IF(E25&lt;&gt;0,+E36-E25,0)</f>
        <v>0</v>
      </c>
      <c r="F37" s="132">
        <f>IF(F25&lt;&gt;0,+F36-F25,0)</f>
        <v>0</v>
      </c>
      <c r="G37" s="132">
        <f>IF(G25&lt;&gt;0,+G36-G25,0)</f>
        <v>0</v>
      </c>
      <c r="H37" s="75">
        <f>SUM(D37:G37)</f>
        <v>-25.680987200001255</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1.416E-4</v>
      </c>
      <c r="E40" s="82">
        <f>E35</f>
        <v>0</v>
      </c>
      <c r="F40" s="82">
        <f>F35</f>
        <v>0</v>
      </c>
      <c r="G40" s="82">
        <f>G35</f>
        <v>0</v>
      </c>
      <c r="H40" s="73">
        <f t="shared" ref="H40:H46" si="1">SUM(D40:G40)</f>
        <v>1.416E-4</v>
      </c>
    </row>
    <row r="41" spans="1:8" ht="15" x14ac:dyDescent="0.2">
      <c r="A41" s="2">
        <f t="shared" si="0"/>
        <v>24</v>
      </c>
      <c r="B41" s="21" t="s">
        <v>39</v>
      </c>
      <c r="C41" s="21"/>
      <c r="D41" s="76">
        <f>ROUND(+D40*$H$32,2)</f>
        <v>138612.32</v>
      </c>
      <c r="E41" s="74">
        <f>ROUND(+E40*$H$32,2)</f>
        <v>0</v>
      </c>
      <c r="F41" s="74">
        <f>ROUND(+F40*$H$32,2)</f>
        <v>0</v>
      </c>
      <c r="G41" s="74">
        <f>ROUND(+G40*$H$32,2)</f>
        <v>0</v>
      </c>
      <c r="H41" s="75">
        <f t="shared" si="1"/>
        <v>138612.32</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138612.32</v>
      </c>
      <c r="E44" s="74">
        <f>SUM(E41:E43)</f>
        <v>0</v>
      </c>
      <c r="F44" s="74">
        <f>SUM(F41:F43)</f>
        <v>0</v>
      </c>
      <c r="G44" s="136">
        <f>SUM(G41:G43)</f>
        <v>0</v>
      </c>
      <c r="H44" s="75">
        <f t="shared" si="1"/>
        <v>138612.32</v>
      </c>
    </row>
    <row r="45" spans="1:8" ht="15" x14ac:dyDescent="0.2">
      <c r="A45" s="2">
        <v>25</v>
      </c>
      <c r="B45" s="21" t="s">
        <v>46</v>
      </c>
      <c r="C45" s="21"/>
      <c r="D45" s="135">
        <f>VLOOKUP(H5,'Raw Data'!A:BX,58,FALSE)</f>
        <v>138612.32</v>
      </c>
      <c r="E45" s="74">
        <f>IF(VLOOKUP(H5,'Raw Data'!A:BX,59,FALSE) = "", 0, VLOOKUP(H5,'Raw Data'!A:BX,59,FALSE))</f>
        <v>0</v>
      </c>
      <c r="F45" s="74">
        <f>IF(VLOOKUP(H5,'Raw Data'!A:BX,60,FALSE) = "", 0, VLOOKUP(H5,'Raw Data'!A:BX,60,FALSE))</f>
        <v>0</v>
      </c>
      <c r="G45" s="136">
        <f>IF(VLOOKUP(H5,'Raw Data'!A:BX,61,FALSE) = "", 0, VLOOKUP(H5,'Raw Data'!A:BX,61,FALSE))</f>
        <v>0</v>
      </c>
      <c r="H45" s="75">
        <f t="shared" si="1"/>
        <v>138612.32</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-7.71</v>
      </c>
      <c r="E47" s="86">
        <f>VLOOKUP(H5,'Raw Data'!A:BX,63,FALSE)</f>
        <v>0</v>
      </c>
      <c r="F47" s="86">
        <f>VLOOKUP(H5,'Raw Data'!A:BX,64,FALSE)</f>
        <v>0</v>
      </c>
      <c r="G47" s="77"/>
      <c r="H47" s="87">
        <f>SUM(D47:F47)</f>
        <v>-7.71</v>
      </c>
    </row>
    <row r="48" spans="1:8" ht="16.5" thickBot="1" x14ac:dyDescent="0.3">
      <c r="A48" s="2">
        <f>+A47+1</f>
        <v>28</v>
      </c>
      <c r="B48" s="47" t="s">
        <v>49</v>
      </c>
      <c r="C48" s="47"/>
      <c r="D48" s="138">
        <f>SUM(D44,D46:D47)</f>
        <v>138604.61000000002</v>
      </c>
      <c r="E48" s="140">
        <f>SUM(E44,E46:E47)</f>
        <v>0</v>
      </c>
      <c r="F48" s="140">
        <f>SUM(F44,F46:F47)</f>
        <v>0</v>
      </c>
      <c r="G48" s="139">
        <f>SUM(G44,G46:G47)</f>
        <v>0</v>
      </c>
      <c r="H48" s="266">
        <f>SUM(D48:G48)</f>
        <v>138604.61000000002</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7.87</v>
      </c>
      <c r="H51" s="92">
        <f>G51</f>
        <v>7.87</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172.07</v>
      </c>
      <c r="H59" s="104">
        <f t="shared" si="3"/>
        <v>172.07</v>
      </c>
    </row>
    <row r="60" spans="1:8" ht="17.25" thickTop="1" thickBot="1" x14ac:dyDescent="0.3">
      <c r="A60" s="2">
        <f t="shared" si="2"/>
        <v>38</v>
      </c>
      <c r="B60" s="47" t="s">
        <v>59</v>
      </c>
      <c r="C60" s="47"/>
      <c r="D60" s="105"/>
      <c r="E60" s="106"/>
      <c r="F60" s="107"/>
      <c r="G60" s="109">
        <f>SUM(G51:G59)</f>
        <v>179.94</v>
      </c>
      <c r="H60" s="142">
        <f>SUM(H51:H59)</f>
        <v>179.94</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138604.61000000002</v>
      </c>
      <c r="E62" s="141">
        <f>E48</f>
        <v>0</v>
      </c>
      <c r="F62" s="141">
        <f>F48</f>
        <v>0</v>
      </c>
      <c r="G62" s="141">
        <f>G48+G60</f>
        <v>179.94</v>
      </c>
      <c r="H62" s="142">
        <f>H48+H60</f>
        <v>138784.55000000002</v>
      </c>
    </row>
    <row r="63" spans="1:8" ht="16.5" thickTop="1" thickBot="1" x14ac:dyDescent="0.25">
      <c r="A63" s="2">
        <f>+A62+1</f>
        <v>40</v>
      </c>
      <c r="B63" s="110" t="s">
        <v>61</v>
      </c>
      <c r="C63" s="110"/>
      <c r="D63" s="111"/>
      <c r="E63" s="112"/>
      <c r="F63" s="112"/>
      <c r="G63" s="112"/>
      <c r="H63" s="113">
        <f>VLOOKUP(H5,'Raw Data'!A:BX,75,FALSE)</f>
        <v>4.2517379000000001E-3</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0" zoomScale="70" zoomScaleNormal="70" workbookViewId="0">
      <selection activeCell="H48" sqref="H48"/>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232</v>
      </c>
    </row>
    <row r="6" spans="1:8" ht="15.75" thickTop="1" x14ac:dyDescent="0.2">
      <c r="A6" s="2">
        <v>1</v>
      </c>
      <c r="B6" s="11" t="s">
        <v>3</v>
      </c>
      <c r="C6" s="150">
        <f>VLOOKUP(H5,'Raw Data'!A:BX,2,FALSE)</f>
        <v>70006870</v>
      </c>
      <c r="D6" s="12"/>
      <c r="E6" s="13"/>
      <c r="F6" s="2"/>
      <c r="G6" s="14"/>
      <c r="H6" s="14"/>
    </row>
    <row r="7" spans="1:8" ht="15" x14ac:dyDescent="0.2">
      <c r="A7" s="2">
        <v>2</v>
      </c>
      <c r="B7" s="11" t="s">
        <v>4</v>
      </c>
      <c r="C7" s="144" t="str">
        <f>VLOOKUP(H5,'Raw Data'!A:BX,4,FALSE)</f>
        <v>668 - JUN CAN WATER DIST</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15000</v>
      </c>
      <c r="E16" s="34"/>
      <c r="F16" s="35"/>
      <c r="G16" s="36"/>
      <c r="H16" s="122">
        <f>+D16</f>
        <v>15000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15000</v>
      </c>
      <c r="E21" s="121">
        <f>SUM(E17)</f>
        <v>0</v>
      </c>
      <c r="F21" s="68">
        <f>SUM(F18:F19)</f>
        <v>0</v>
      </c>
      <c r="G21" s="68">
        <f>SUM(G20)</f>
        <v>0</v>
      </c>
      <c r="H21" s="68">
        <f>SUM(D21:G21)</f>
        <v>15000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15000</v>
      </c>
      <c r="E25" s="52">
        <f>SUM(E21)-SUM(E24)</f>
        <v>0</v>
      </c>
      <c r="F25" s="52">
        <f>SUM(F21)-SUM(F24)</f>
        <v>0</v>
      </c>
      <c r="G25" s="52">
        <f>SUM(G21)-SUM(G24)</f>
        <v>0</v>
      </c>
      <c r="H25" s="128">
        <f>+H21-H24</f>
        <v>15000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110003095</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110003095</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1.3630000000000001E-4</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0</v>
      </c>
      <c r="H35" s="143">
        <f>SUM(D35:G35)</f>
        <v>1.3630000000000001E-4</v>
      </c>
    </row>
    <row r="36" spans="1:8" ht="15" x14ac:dyDescent="0.2">
      <c r="A36" s="2">
        <f t="shared" ref="A36:A41" si="0">+A35+1</f>
        <v>19</v>
      </c>
      <c r="B36" s="21" t="s">
        <v>34</v>
      </c>
      <c r="C36" s="21"/>
      <c r="D36" s="76">
        <f>$H$32*D35</f>
        <v>14993.4218485</v>
      </c>
      <c r="E36" s="74">
        <f>+$H$32*E35</f>
        <v>0</v>
      </c>
      <c r="F36" s="74">
        <f>+$H$32*F35</f>
        <v>0</v>
      </c>
      <c r="G36" s="74">
        <f>+$H$32*G35</f>
        <v>0</v>
      </c>
      <c r="H36" s="75">
        <f>SUM(D36:G36)</f>
        <v>14993.4218485</v>
      </c>
    </row>
    <row r="37" spans="1:8" ht="15" x14ac:dyDescent="0.2">
      <c r="A37" s="2">
        <f t="shared" si="0"/>
        <v>20</v>
      </c>
      <c r="B37" s="21" t="s">
        <v>35</v>
      </c>
      <c r="C37" s="21"/>
      <c r="D37" s="133">
        <f>IF(D25&lt;&gt;0,+D36-D25,0)</f>
        <v>-6.5781514999998763</v>
      </c>
      <c r="E37" s="134">
        <f>IF(E25&lt;&gt;0,+E36-E25,0)</f>
        <v>0</v>
      </c>
      <c r="F37" s="132">
        <f>IF(F25&lt;&gt;0,+F36-F25,0)</f>
        <v>0</v>
      </c>
      <c r="G37" s="132">
        <f>IF(G25&lt;&gt;0,+G36-G25,0)</f>
        <v>0</v>
      </c>
      <c r="H37" s="75">
        <f>SUM(D37:G37)</f>
        <v>-6.5781514999998763</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1.3630000000000001E-4</v>
      </c>
      <c r="E40" s="82">
        <f>E35</f>
        <v>0</v>
      </c>
      <c r="F40" s="82">
        <f>F35</f>
        <v>0</v>
      </c>
      <c r="G40" s="82">
        <f>G35</f>
        <v>0</v>
      </c>
      <c r="H40" s="73">
        <f t="shared" ref="H40:H46" si="1">SUM(D40:G40)</f>
        <v>1.3630000000000001E-4</v>
      </c>
    </row>
    <row r="41" spans="1:8" ht="15" x14ac:dyDescent="0.2">
      <c r="A41" s="2">
        <f t="shared" si="0"/>
        <v>24</v>
      </c>
      <c r="B41" s="21" t="s">
        <v>39</v>
      </c>
      <c r="C41" s="21"/>
      <c r="D41" s="76">
        <f>ROUND(+D40*$H$32,2)</f>
        <v>14993.42</v>
      </c>
      <c r="E41" s="74">
        <f>ROUND(+E40*$H$32,2)</f>
        <v>0</v>
      </c>
      <c r="F41" s="74">
        <f>ROUND(+F40*$H$32,2)</f>
        <v>0</v>
      </c>
      <c r="G41" s="74">
        <f>ROUND(+G40*$H$32,2)</f>
        <v>0</v>
      </c>
      <c r="H41" s="75">
        <f t="shared" si="1"/>
        <v>14993.42</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14993.42</v>
      </c>
      <c r="E44" s="74">
        <f>SUM(E41:E43)</f>
        <v>0</v>
      </c>
      <c r="F44" s="74">
        <f>SUM(F41:F43)</f>
        <v>0</v>
      </c>
      <c r="G44" s="136">
        <f>SUM(G41:G43)</f>
        <v>0</v>
      </c>
      <c r="H44" s="75">
        <f t="shared" si="1"/>
        <v>14993.42</v>
      </c>
    </row>
    <row r="45" spans="1:8" ht="15" x14ac:dyDescent="0.2">
      <c r="A45" s="2">
        <v>25</v>
      </c>
      <c r="B45" s="21" t="s">
        <v>46</v>
      </c>
      <c r="C45" s="21"/>
      <c r="D45" s="135">
        <f>VLOOKUP(H5,'Raw Data'!A:BX,58,FALSE)</f>
        <v>14993.42</v>
      </c>
      <c r="E45" s="74">
        <f>IF(VLOOKUP(H5,'Raw Data'!A:BX,59,FALSE) = "", 0, VLOOKUP(H5,'Raw Data'!A:BX,59,FALSE))</f>
        <v>0</v>
      </c>
      <c r="F45" s="74">
        <f>IF(VLOOKUP(H5,'Raw Data'!A:BX,60,FALSE) = "", 0, VLOOKUP(H5,'Raw Data'!A:BX,60,FALSE))</f>
        <v>0</v>
      </c>
      <c r="G45" s="136">
        <f>IF(VLOOKUP(H5,'Raw Data'!A:BX,61,FALSE) = "", 0, VLOOKUP(H5,'Raw Data'!A:BX,61,FALSE))</f>
        <v>0</v>
      </c>
      <c r="H45" s="75">
        <f t="shared" si="1"/>
        <v>14993.42</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-2.4900000000000002</v>
      </c>
      <c r="E47" s="86">
        <f>VLOOKUP(H5,'Raw Data'!A:BX,63,FALSE)</f>
        <v>0</v>
      </c>
      <c r="F47" s="86">
        <f>VLOOKUP(H5,'Raw Data'!A:BX,64,FALSE)</f>
        <v>0</v>
      </c>
      <c r="G47" s="77"/>
      <c r="H47" s="87">
        <f>SUM(D47:F47)</f>
        <v>-2.4900000000000002</v>
      </c>
    </row>
    <row r="48" spans="1:8" ht="16.5" thickBot="1" x14ac:dyDescent="0.3">
      <c r="A48" s="2">
        <f>+A47+1</f>
        <v>28</v>
      </c>
      <c r="B48" s="47" t="s">
        <v>49</v>
      </c>
      <c r="C48" s="47"/>
      <c r="D48" s="138">
        <f>SUM(D44,D46:D47)</f>
        <v>14990.93</v>
      </c>
      <c r="E48" s="140">
        <f>SUM(E44,E46:E47)</f>
        <v>0</v>
      </c>
      <c r="F48" s="140">
        <f>SUM(F44,F46:F47)</f>
        <v>0</v>
      </c>
      <c r="G48" s="139">
        <f>SUM(G44,G46:G47)</f>
        <v>0</v>
      </c>
      <c r="H48" s="266">
        <f>SUM(D48:G48)</f>
        <v>14990.93</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7.57</v>
      </c>
      <c r="H51" s="92">
        <f>G51</f>
        <v>7.57</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8.52</v>
      </c>
      <c r="H59" s="104">
        <f t="shared" si="3"/>
        <v>8.52</v>
      </c>
    </row>
    <row r="60" spans="1:8" ht="17.25" thickTop="1" thickBot="1" x14ac:dyDescent="0.3">
      <c r="A60" s="2">
        <f t="shared" si="2"/>
        <v>38</v>
      </c>
      <c r="B60" s="47" t="s">
        <v>59</v>
      </c>
      <c r="C60" s="47"/>
      <c r="D60" s="105"/>
      <c r="E60" s="106"/>
      <c r="F60" s="107"/>
      <c r="G60" s="109">
        <f>SUM(G51:G59)</f>
        <v>16.09</v>
      </c>
      <c r="H60" s="142">
        <f>SUM(H51:H59)</f>
        <v>16.09</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14990.93</v>
      </c>
      <c r="E62" s="141">
        <f>E48</f>
        <v>0</v>
      </c>
      <c r="F62" s="141">
        <f>F48</f>
        <v>0</v>
      </c>
      <c r="G62" s="141">
        <f>G48+G60</f>
        <v>16.09</v>
      </c>
      <c r="H62" s="142">
        <f>H48+H60</f>
        <v>15007.02</v>
      </c>
    </row>
    <row r="63" spans="1:8" ht="16.5" thickTop="1" thickBot="1" x14ac:dyDescent="0.25">
      <c r="A63" s="2">
        <f>+A62+1</f>
        <v>40</v>
      </c>
      <c r="B63" s="110" t="s">
        <v>61</v>
      </c>
      <c r="C63" s="110"/>
      <c r="D63" s="111"/>
      <c r="E63" s="112"/>
      <c r="F63" s="112"/>
      <c r="G63" s="112"/>
      <c r="H63" s="113">
        <f>VLOOKUP(H5,'Raw Data'!A:BX,75,FALSE)</f>
        <v>4.59748E-4</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0" zoomScale="70" zoomScaleNormal="70" workbookViewId="0">
      <selection activeCell="H48" sqref="H48"/>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233</v>
      </c>
    </row>
    <row r="6" spans="1:8" ht="15.75" thickTop="1" x14ac:dyDescent="0.2">
      <c r="A6" s="2">
        <v>1</v>
      </c>
      <c r="B6" s="11" t="s">
        <v>3</v>
      </c>
      <c r="C6" s="150">
        <f>VLOOKUP(H5,'Raw Data'!A:BX,2,FALSE)</f>
        <v>70003740</v>
      </c>
      <c r="D6" s="12"/>
      <c r="E6" s="13"/>
      <c r="F6" s="2"/>
      <c r="G6" s="14"/>
      <c r="H6" s="14"/>
    </row>
    <row r="7" spans="1:8" ht="15" x14ac:dyDescent="0.2">
      <c r="A7" s="2">
        <v>2</v>
      </c>
      <c r="B7" s="11" t="s">
        <v>4</v>
      </c>
      <c r="C7" s="144" t="str">
        <f>VLOOKUP(H5,'Raw Data'!A:BX,4,FALSE)</f>
        <v>679 - PLA UNIT I ROAD DIST</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0</v>
      </c>
      <c r="E21" s="121">
        <f>SUM(E17)</f>
        <v>0</v>
      </c>
      <c r="F21" s="68">
        <f>SUM(F18:F19)</f>
        <v>0</v>
      </c>
      <c r="G21" s="68">
        <f>SUM(G20)</f>
        <v>0</v>
      </c>
      <c r="H21" s="68">
        <f>SUM(D21:G21)</f>
        <v>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0</v>
      </c>
      <c r="H25" s="128">
        <f>+H21-H24</f>
        <v>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16466856</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16466856</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1.8913000000000001E-3</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0</v>
      </c>
      <c r="H35" s="143">
        <f>SUM(D35:G35)</f>
        <v>1.8913000000000001E-3</v>
      </c>
    </row>
    <row r="36" spans="1:8" ht="15" x14ac:dyDescent="0.2">
      <c r="A36" s="2">
        <f t="shared" ref="A36:A41" si="0">+A35+1</f>
        <v>19</v>
      </c>
      <c r="B36" s="21" t="s">
        <v>34</v>
      </c>
      <c r="C36" s="21"/>
      <c r="D36" s="76">
        <f>$H$32*D35</f>
        <v>31143.764752800002</v>
      </c>
      <c r="E36" s="74">
        <f>+$H$32*E35</f>
        <v>0</v>
      </c>
      <c r="F36" s="74">
        <f>+$H$32*F35</f>
        <v>0</v>
      </c>
      <c r="G36" s="74">
        <f>+$H$32*G35</f>
        <v>0</v>
      </c>
      <c r="H36" s="75">
        <f>SUM(D36:G36)</f>
        <v>31143.764752800002</v>
      </c>
    </row>
    <row r="37" spans="1:8" ht="15" x14ac:dyDescent="0.2">
      <c r="A37" s="2">
        <f t="shared" si="0"/>
        <v>20</v>
      </c>
      <c r="B37" s="21" t="s">
        <v>35</v>
      </c>
      <c r="C37" s="21"/>
      <c r="D37" s="133">
        <f>IF(D25&lt;&gt;0,+D36-D25,0)</f>
        <v>0</v>
      </c>
      <c r="E37" s="134">
        <f>IF(E25&lt;&gt;0,+E36-E25,0)</f>
        <v>0</v>
      </c>
      <c r="F37" s="132">
        <f>IF(F25&lt;&gt;0,+F36-F25,0)</f>
        <v>0</v>
      </c>
      <c r="G37" s="132">
        <f>IF(G25&lt;&gt;0,+G36-G25,0)</f>
        <v>0</v>
      </c>
      <c r="H37" s="75">
        <f>SUM(D37:G37)</f>
        <v>0</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1.8913000000000001E-3</v>
      </c>
      <c r="E40" s="82">
        <f>E35</f>
        <v>0</v>
      </c>
      <c r="F40" s="82">
        <f>F35</f>
        <v>0</v>
      </c>
      <c r="G40" s="82">
        <f>G35</f>
        <v>0</v>
      </c>
      <c r="H40" s="73">
        <f t="shared" ref="H40:H46" si="1">SUM(D40:G40)</f>
        <v>1.8913000000000001E-3</v>
      </c>
    </row>
    <row r="41" spans="1:8" ht="15" x14ac:dyDescent="0.2">
      <c r="A41" s="2">
        <f t="shared" si="0"/>
        <v>24</v>
      </c>
      <c r="B41" s="21" t="s">
        <v>39</v>
      </c>
      <c r="C41" s="21"/>
      <c r="D41" s="76">
        <f>ROUND(+D40*$H$32,2)</f>
        <v>31143.759999999998</v>
      </c>
      <c r="E41" s="74">
        <f>ROUND(+E40*$H$32,2)</f>
        <v>0</v>
      </c>
      <c r="F41" s="74">
        <f>ROUND(+F40*$H$32,2)</f>
        <v>0</v>
      </c>
      <c r="G41" s="74">
        <f>ROUND(+G40*$H$32,2)</f>
        <v>0</v>
      </c>
      <c r="H41" s="75">
        <f t="shared" si="1"/>
        <v>31143.759999999998</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31143.759999999998</v>
      </c>
      <c r="E44" s="74">
        <f>SUM(E41:E43)</f>
        <v>0</v>
      </c>
      <c r="F44" s="74">
        <f>SUM(F41:F43)</f>
        <v>0</v>
      </c>
      <c r="G44" s="136">
        <f>SUM(G41:G43)</f>
        <v>0</v>
      </c>
      <c r="H44" s="75">
        <f t="shared" si="1"/>
        <v>31143.759999999998</v>
      </c>
    </row>
    <row r="45" spans="1:8" ht="15" x14ac:dyDescent="0.2">
      <c r="A45" s="2">
        <v>25</v>
      </c>
      <c r="B45" s="21" t="s">
        <v>46</v>
      </c>
      <c r="C45" s="21"/>
      <c r="D45" s="135">
        <f>VLOOKUP(H5,'Raw Data'!A:BX,58,FALSE)</f>
        <v>31143.759999999998</v>
      </c>
      <c r="E45" s="74">
        <f>IF(VLOOKUP(H5,'Raw Data'!A:BX,59,FALSE) = "", 0, VLOOKUP(H5,'Raw Data'!A:BX,59,FALSE))</f>
        <v>0</v>
      </c>
      <c r="F45" s="74">
        <f>IF(VLOOKUP(H5,'Raw Data'!A:BX,60,FALSE) = "", 0, VLOOKUP(H5,'Raw Data'!A:BX,60,FALSE))</f>
        <v>0</v>
      </c>
      <c r="G45" s="136">
        <f>IF(VLOOKUP(H5,'Raw Data'!A:BX,61,FALSE) = "", 0, VLOOKUP(H5,'Raw Data'!A:BX,61,FALSE))</f>
        <v>0</v>
      </c>
      <c r="H45" s="75">
        <f t="shared" si="1"/>
        <v>31143.759999999998</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0</v>
      </c>
      <c r="E47" s="86">
        <f>VLOOKUP(H5,'Raw Data'!A:BX,63,FALSE)</f>
        <v>0</v>
      </c>
      <c r="F47" s="86">
        <f>VLOOKUP(H5,'Raw Data'!A:BX,64,FALSE)</f>
        <v>0</v>
      </c>
      <c r="G47" s="77"/>
      <c r="H47" s="87">
        <f>SUM(D47:F47)</f>
        <v>0</v>
      </c>
    </row>
    <row r="48" spans="1:8" ht="16.5" thickBot="1" x14ac:dyDescent="0.3">
      <c r="A48" s="2">
        <f>+A47+1</f>
        <v>28</v>
      </c>
      <c r="B48" s="47" t="s">
        <v>49</v>
      </c>
      <c r="C48" s="47"/>
      <c r="D48" s="138">
        <f>SUM(D44,D46:D47)</f>
        <v>31143.759999999998</v>
      </c>
      <c r="E48" s="140">
        <f>SUM(E44,E46:E47)</f>
        <v>0</v>
      </c>
      <c r="F48" s="140">
        <f>SUM(F44,F46:F47)</f>
        <v>0</v>
      </c>
      <c r="G48" s="139">
        <f>SUM(G44,G46:G47)</f>
        <v>0</v>
      </c>
      <c r="H48" s="266">
        <f>SUM(D48:G48)</f>
        <v>31143.759999999998</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0</v>
      </c>
      <c r="H51" s="92">
        <f>G51</f>
        <v>0</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0</v>
      </c>
      <c r="H59" s="104">
        <f t="shared" si="3"/>
        <v>0</v>
      </c>
    </row>
    <row r="60" spans="1:8" ht="17.25" thickTop="1" thickBot="1" x14ac:dyDescent="0.3">
      <c r="A60" s="2">
        <f t="shared" si="2"/>
        <v>38</v>
      </c>
      <c r="B60" s="47" t="s">
        <v>59</v>
      </c>
      <c r="C60" s="47"/>
      <c r="D60" s="105"/>
      <c r="E60" s="106"/>
      <c r="F60" s="107"/>
      <c r="G60" s="109">
        <f>SUM(G51:G59)</f>
        <v>0</v>
      </c>
      <c r="H60" s="142">
        <f>SUM(H51:H59)</f>
        <v>0</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31143.759999999998</v>
      </c>
      <c r="E62" s="141">
        <f>E48</f>
        <v>0</v>
      </c>
      <c r="F62" s="141">
        <f>F48</f>
        <v>0</v>
      </c>
      <c r="G62" s="141">
        <f>G48+G60</f>
        <v>0</v>
      </c>
      <c r="H62" s="142">
        <f>H48+H60</f>
        <v>31143.759999999998</v>
      </c>
    </row>
    <row r="63" spans="1:8" ht="16.5" thickTop="1" thickBot="1" x14ac:dyDescent="0.25">
      <c r="A63" s="2">
        <f>+A62+1</f>
        <v>40</v>
      </c>
      <c r="B63" s="110" t="s">
        <v>61</v>
      </c>
      <c r="C63" s="110"/>
      <c r="D63" s="111"/>
      <c r="E63" s="112"/>
      <c r="F63" s="112"/>
      <c r="G63" s="112"/>
      <c r="H63" s="113">
        <f>VLOOKUP(H5,'Raw Data'!A:BX,75,FALSE)</f>
        <v>9.5410549999999997E-4</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0" zoomScale="70" zoomScaleNormal="70" workbookViewId="0">
      <selection activeCell="H48" sqref="H48"/>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234</v>
      </c>
    </row>
    <row r="6" spans="1:8" ht="15.75" thickTop="1" x14ac:dyDescent="0.2">
      <c r="A6" s="2">
        <v>1</v>
      </c>
      <c r="B6" s="11" t="s">
        <v>3</v>
      </c>
      <c r="C6" s="150">
        <f>VLOOKUP(H5,'Raw Data'!A:BX,2,FALSE)</f>
        <v>70162000</v>
      </c>
      <c r="D6" s="12"/>
      <c r="E6" s="13"/>
      <c r="F6" s="2"/>
      <c r="G6" s="14"/>
      <c r="H6" s="14"/>
    </row>
    <row r="7" spans="1:8" ht="15" x14ac:dyDescent="0.2">
      <c r="A7" s="2">
        <v>2</v>
      </c>
      <c r="B7" s="11" t="s">
        <v>4</v>
      </c>
      <c r="C7" s="144" t="str">
        <f>VLOOKUP(H5,'Raw Data'!A:BX,4,FALSE)</f>
        <v>680 - CROOK CTY SCHOOL DIST</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0</v>
      </c>
      <c r="E21" s="121">
        <f>SUM(E17)</f>
        <v>0</v>
      </c>
      <c r="F21" s="68">
        <f>SUM(F18:F19)</f>
        <v>0</v>
      </c>
      <c r="G21" s="68">
        <f>SUM(G20)</f>
        <v>0</v>
      </c>
      <c r="H21" s="68">
        <f>SUM(D21:G21)</f>
        <v>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0</v>
      </c>
      <c r="H25" s="128">
        <f>+H21-H24</f>
        <v>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2334962000</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2334962000</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4.7855999999999992E-3</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0</v>
      </c>
      <c r="H35" s="143">
        <f>SUM(D35:G35)</f>
        <v>4.7855999999999992E-3</v>
      </c>
    </row>
    <row r="36" spans="1:8" ht="15" x14ac:dyDescent="0.2">
      <c r="A36" s="2">
        <f t="shared" ref="A36:A41" si="0">+A35+1</f>
        <v>19</v>
      </c>
      <c r="B36" s="21" t="s">
        <v>34</v>
      </c>
      <c r="C36" s="21"/>
      <c r="D36" s="76">
        <f>$H$32*D35</f>
        <v>11174194.147199998</v>
      </c>
      <c r="E36" s="74">
        <f>+$H$32*E35</f>
        <v>0</v>
      </c>
      <c r="F36" s="74">
        <f>+$H$32*F35</f>
        <v>0</v>
      </c>
      <c r="G36" s="74">
        <f>+$H$32*G35</f>
        <v>0</v>
      </c>
      <c r="H36" s="75">
        <f>SUM(D36:G36)</f>
        <v>11174194.147199998</v>
      </c>
    </row>
    <row r="37" spans="1:8" ht="15" x14ac:dyDescent="0.2">
      <c r="A37" s="2">
        <f t="shared" si="0"/>
        <v>20</v>
      </c>
      <c r="B37" s="21" t="s">
        <v>35</v>
      </c>
      <c r="C37" s="21"/>
      <c r="D37" s="133">
        <f>IF(D25&lt;&gt;0,+D36-D25,0)</f>
        <v>0</v>
      </c>
      <c r="E37" s="134">
        <f>IF(E25&lt;&gt;0,+E36-E25,0)</f>
        <v>0</v>
      </c>
      <c r="F37" s="132">
        <f>IF(F25&lt;&gt;0,+F36-F25,0)</f>
        <v>0</v>
      </c>
      <c r="G37" s="132">
        <f>IF(G25&lt;&gt;0,+G36-G25,0)</f>
        <v>0</v>
      </c>
      <c r="H37" s="75">
        <f>SUM(D37:G37)</f>
        <v>0</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4.7855999999999992E-3</v>
      </c>
      <c r="E40" s="82">
        <f>E35</f>
        <v>0</v>
      </c>
      <c r="F40" s="82">
        <f>F35</f>
        <v>0</v>
      </c>
      <c r="G40" s="82">
        <f>G35</f>
        <v>0</v>
      </c>
      <c r="H40" s="73">
        <f t="shared" ref="H40:H46" si="1">SUM(D40:G40)</f>
        <v>4.7855999999999992E-3</v>
      </c>
    </row>
    <row r="41" spans="1:8" ht="15" x14ac:dyDescent="0.2">
      <c r="A41" s="2">
        <f t="shared" si="0"/>
        <v>24</v>
      </c>
      <c r="B41" s="21" t="s">
        <v>39</v>
      </c>
      <c r="C41" s="21"/>
      <c r="D41" s="76">
        <f>ROUND(+D40*$H$32,2)</f>
        <v>11174194.15</v>
      </c>
      <c r="E41" s="74">
        <f>ROUND(+E40*$H$32,2)</f>
        <v>0</v>
      </c>
      <c r="F41" s="74">
        <f>ROUND(+F40*$H$32,2)</f>
        <v>0</v>
      </c>
      <c r="G41" s="74">
        <f>ROUND(+G40*$H$32,2)</f>
        <v>0</v>
      </c>
      <c r="H41" s="75">
        <f t="shared" si="1"/>
        <v>11174194.15</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11174194.15</v>
      </c>
      <c r="E44" s="74">
        <f>SUM(E41:E43)</f>
        <v>0</v>
      </c>
      <c r="F44" s="74">
        <f>SUM(F41:F43)</f>
        <v>0</v>
      </c>
      <c r="G44" s="136">
        <f>SUM(G41:G43)</f>
        <v>0</v>
      </c>
      <c r="H44" s="75">
        <f t="shared" si="1"/>
        <v>11174194.15</v>
      </c>
    </row>
    <row r="45" spans="1:8" ht="15" x14ac:dyDescent="0.2">
      <c r="A45" s="2">
        <v>25</v>
      </c>
      <c r="B45" s="21" t="s">
        <v>46</v>
      </c>
      <c r="C45" s="21"/>
      <c r="D45" s="135">
        <f>VLOOKUP(H5,'Raw Data'!A:BX,58,FALSE)</f>
        <v>11174194.15</v>
      </c>
      <c r="E45" s="74">
        <f>IF(VLOOKUP(H5,'Raw Data'!A:BX,59,FALSE) = "", 0, VLOOKUP(H5,'Raw Data'!A:BX,59,FALSE))</f>
        <v>0</v>
      </c>
      <c r="F45" s="74">
        <f>IF(VLOOKUP(H5,'Raw Data'!A:BX,60,FALSE) = "", 0, VLOOKUP(H5,'Raw Data'!A:BX,60,FALSE))</f>
        <v>0</v>
      </c>
      <c r="G45" s="136">
        <f>IF(VLOOKUP(H5,'Raw Data'!A:BX,61,FALSE) = "", 0, VLOOKUP(H5,'Raw Data'!A:BX,61,FALSE))</f>
        <v>0</v>
      </c>
      <c r="H45" s="75">
        <f t="shared" si="1"/>
        <v>11174194.15</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-147237.12</v>
      </c>
      <c r="E47" s="86">
        <f>VLOOKUP(H5,'Raw Data'!A:BX,63,FALSE)</f>
        <v>0</v>
      </c>
      <c r="F47" s="86">
        <f>VLOOKUP(H5,'Raw Data'!A:BX,64,FALSE)</f>
        <v>0</v>
      </c>
      <c r="G47" s="77"/>
      <c r="H47" s="87">
        <f>SUM(D47:F47)</f>
        <v>-147237.12</v>
      </c>
    </row>
    <row r="48" spans="1:8" ht="16.5" thickBot="1" x14ac:dyDescent="0.3">
      <c r="A48" s="2">
        <f>+A47+1</f>
        <v>28</v>
      </c>
      <c r="B48" s="47" t="s">
        <v>49</v>
      </c>
      <c r="C48" s="47"/>
      <c r="D48" s="138">
        <f>SUM(D44,D46:D47)</f>
        <v>11026957.030000001</v>
      </c>
      <c r="E48" s="140">
        <f>SUM(E44,E46:E47)</f>
        <v>0</v>
      </c>
      <c r="F48" s="140">
        <f>SUM(F44,F46:F47)</f>
        <v>0</v>
      </c>
      <c r="G48" s="139">
        <f>SUM(G44,G46:G47)</f>
        <v>0</v>
      </c>
      <c r="H48" s="266">
        <f>SUM(D48:G48)</f>
        <v>11026957.030000001</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19410.310000000001</v>
      </c>
      <c r="H51" s="92">
        <f>G51</f>
        <v>19410.310000000001</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12809.74</v>
      </c>
      <c r="H59" s="104">
        <f t="shared" si="3"/>
        <v>12809.74</v>
      </c>
    </row>
    <row r="60" spans="1:8" ht="17.25" thickTop="1" thickBot="1" x14ac:dyDescent="0.3">
      <c r="A60" s="2">
        <f t="shared" si="2"/>
        <v>38</v>
      </c>
      <c r="B60" s="47" t="s">
        <v>59</v>
      </c>
      <c r="C60" s="47"/>
      <c r="D60" s="105"/>
      <c r="E60" s="106"/>
      <c r="F60" s="107"/>
      <c r="G60" s="109">
        <f>SUM(G51:G59)</f>
        <v>32220.050000000003</v>
      </c>
      <c r="H60" s="142">
        <f>SUM(H51:H59)</f>
        <v>32220.050000000003</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11026957.030000001</v>
      </c>
      <c r="E62" s="141">
        <f>E48</f>
        <v>0</v>
      </c>
      <c r="F62" s="141">
        <f>F48</f>
        <v>0</v>
      </c>
      <c r="G62" s="141">
        <f>G48+G60</f>
        <v>32220.050000000003</v>
      </c>
      <c r="H62" s="142">
        <f>H48+H60</f>
        <v>11059177.080000002</v>
      </c>
    </row>
    <row r="63" spans="1:8" ht="16.5" thickTop="1" thickBot="1" x14ac:dyDescent="0.25">
      <c r="A63" s="2">
        <f>+A62+1</f>
        <v>40</v>
      </c>
      <c r="B63" s="110" t="s">
        <v>61</v>
      </c>
      <c r="C63" s="110"/>
      <c r="D63" s="111"/>
      <c r="E63" s="112"/>
      <c r="F63" s="112"/>
      <c r="G63" s="112"/>
      <c r="H63" s="113">
        <f>VLOOKUP(H5,'Raw Data'!A:BX,75,FALSE)</f>
        <v>0.3388037217</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8"/>
  <sheetViews>
    <sheetView topLeftCell="A16" zoomScale="70" zoomScaleNormal="70" workbookViewId="0">
      <selection activeCell="J29" sqref="J29"/>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 min="10" max="10" width="12.5703125" bestFit="1" customWidth="1"/>
    <col min="11" max="11" width="11.8554687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240</v>
      </c>
    </row>
    <row r="6" spans="1:8" ht="15.75" thickTop="1" x14ac:dyDescent="0.2">
      <c r="A6" s="2">
        <v>1</v>
      </c>
      <c r="B6" s="11" t="s">
        <v>3</v>
      </c>
      <c r="C6" s="150">
        <f>VLOOKUP(H5,'Raw Data'!A:BX,2,FALSE)</f>
        <v>70162000</v>
      </c>
      <c r="D6" s="12"/>
      <c r="E6" s="13"/>
      <c r="F6" s="2"/>
      <c r="G6" s="14"/>
      <c r="H6" s="14"/>
    </row>
    <row r="7" spans="1:8" ht="15" x14ac:dyDescent="0.2">
      <c r="A7" s="2">
        <v>2</v>
      </c>
      <c r="B7" s="11" t="s">
        <v>4</v>
      </c>
      <c r="C7" s="144" t="str">
        <f>VLOOKUP(H5,'Raw Data'!A:BX,4,FALSE)</f>
        <v>CROOK COUNTY SCHOOL DISTRICT</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1970007.44</v>
      </c>
      <c r="H20" s="119">
        <f>+G20</f>
        <v>1970007.44</v>
      </c>
    </row>
    <row r="21" spans="1:8" ht="17.25" thickTop="1" thickBot="1" x14ac:dyDescent="0.3">
      <c r="A21" s="2">
        <f>+A20+1</f>
        <v>10</v>
      </c>
      <c r="B21" s="47" t="s">
        <v>22</v>
      </c>
      <c r="C21" s="47"/>
      <c r="D21" s="120">
        <f>SUM(D16)</f>
        <v>0</v>
      </c>
      <c r="E21" s="121">
        <f>SUM(E17)</f>
        <v>0</v>
      </c>
      <c r="F21" s="68">
        <f>SUM(F18:F19)</f>
        <v>0</v>
      </c>
      <c r="G21" s="68">
        <f>SUM(G20)</f>
        <v>1970007.44</v>
      </c>
      <c r="H21" s="68">
        <f>SUM(D21:G21)</f>
        <v>1970007.44</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259">
        <f>VLOOKUP(H5,'Raw Data'!A:BX,26,FALSE)</f>
        <v>0</v>
      </c>
      <c r="E24" s="260">
        <f>VLOOKUP(H5,'Raw Data'!A:BX,27,FALSE)</f>
        <v>0</v>
      </c>
      <c r="F24" s="260">
        <f>VLOOKUP(H5,'Raw Data'!A:BX,28,FALSE)</f>
        <v>0</v>
      </c>
      <c r="G24" s="255">
        <f>VLOOKUP(H5,'Raw Data'!A:BX,29,FALSE)</f>
        <v>0</v>
      </c>
      <c r="H24" s="256">
        <f>SUM(D24:G24)</f>
        <v>0</v>
      </c>
    </row>
    <row r="25" spans="1:8" ht="16.5" thickBot="1" x14ac:dyDescent="0.3">
      <c r="A25" s="2">
        <f>+A24+1</f>
        <v>12</v>
      </c>
      <c r="B25" s="47" t="s">
        <v>25</v>
      </c>
      <c r="C25" s="47"/>
      <c r="D25" s="261">
        <f>SUM(D21)-SUM(D24)</f>
        <v>0</v>
      </c>
      <c r="E25" s="257">
        <f>SUM(E21)-SUM(E24)</f>
        <v>0</v>
      </c>
      <c r="F25" s="257">
        <f>SUM(F21)-SUM(F24)</f>
        <v>0</v>
      </c>
      <c r="G25" s="257">
        <f>SUM(G21)-SUM(G24)</f>
        <v>1970007.44</v>
      </c>
      <c r="H25" s="258">
        <f>+H21-H24</f>
        <v>1970007.44</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2334962000</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2334962000</v>
      </c>
    </row>
    <row r="33" spans="1:10" ht="15.75" thickTop="1" x14ac:dyDescent="0.2">
      <c r="A33" s="2"/>
      <c r="B33" s="21" t="s">
        <v>6</v>
      </c>
      <c r="C33" s="21"/>
      <c r="D33" s="69"/>
      <c r="E33" s="70"/>
      <c r="F33" s="69"/>
      <c r="G33" s="69"/>
      <c r="H33" s="69"/>
    </row>
    <row r="34" spans="1:10" ht="16.5" thickBot="1" x14ac:dyDescent="0.3">
      <c r="A34" s="2"/>
      <c r="B34" s="29" t="s">
        <v>32</v>
      </c>
      <c r="C34" s="29"/>
      <c r="D34" s="69"/>
      <c r="E34" s="70"/>
      <c r="F34" s="69"/>
      <c r="G34" s="69"/>
      <c r="H34" s="69"/>
    </row>
    <row r="35" spans="1:10" ht="15.75" thickTop="1" x14ac:dyDescent="0.2">
      <c r="A35" s="2">
        <f>+A32+1</f>
        <v>18</v>
      </c>
      <c r="B35" s="21" t="s">
        <v>33</v>
      </c>
      <c r="C35" s="21"/>
      <c r="D35" s="71">
        <f>IF(D25&lt;&gt;0,+INT(D25/$H$32*10000000)/10000000,IF(VLOOKUP(H5,'Raw Data'!A:BX,36,FALSE) = "", 0, VLOOKUP(H5,'Raw Data'!A:BX,36,FALSE)/1000))</f>
        <v>0</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8.4369999999999996E-4</v>
      </c>
      <c r="H35" s="143">
        <f>SUM(D35:G35)</f>
        <v>8.4369999999999996E-4</v>
      </c>
      <c r="J35" s="262"/>
    </row>
    <row r="36" spans="1:10" ht="15" x14ac:dyDescent="0.2">
      <c r="A36" s="2">
        <f t="shared" ref="A36:A41" si="0">+A35+1</f>
        <v>19</v>
      </c>
      <c r="B36" s="21" t="s">
        <v>34</v>
      </c>
      <c r="C36" s="21"/>
      <c r="D36" s="76">
        <f>$H$32*D35</f>
        <v>0</v>
      </c>
      <c r="E36" s="74">
        <f>+$H$32*E35</f>
        <v>0</v>
      </c>
      <c r="F36" s="74">
        <f>+$H$32*F35</f>
        <v>0</v>
      </c>
      <c r="G36" s="74">
        <f>+$H$32*G35</f>
        <v>1970007.4393999998</v>
      </c>
      <c r="H36" s="75">
        <f>SUM(D36:G36)</f>
        <v>1970007.4393999998</v>
      </c>
    </row>
    <row r="37" spans="1:10" ht="15" x14ac:dyDescent="0.2">
      <c r="A37" s="2">
        <f t="shared" si="0"/>
        <v>20</v>
      </c>
      <c r="B37" s="21" t="s">
        <v>35</v>
      </c>
      <c r="C37" s="21"/>
      <c r="D37" s="133">
        <f>IF(D25&lt;&gt;0,+D36-D25,0)</f>
        <v>0</v>
      </c>
      <c r="E37" s="134">
        <f>IF(E25&lt;&gt;0,+E36-E25,0)</f>
        <v>0</v>
      </c>
      <c r="F37" s="132">
        <f>IF(F25&lt;&gt;0,+F36-F25,0)</f>
        <v>0</v>
      </c>
      <c r="G37" s="132">
        <f>IF(G25&lt;&gt;0,+G36-G25,0)</f>
        <v>-6.0000014491379261E-4</v>
      </c>
      <c r="H37" s="75">
        <f>SUM(D37:G37)</f>
        <v>-6.0000014491379261E-4</v>
      </c>
    </row>
    <row r="38" spans="1:10" ht="15.75" x14ac:dyDescent="0.25">
      <c r="A38" s="2">
        <f t="shared" si="0"/>
        <v>21</v>
      </c>
      <c r="B38" s="21" t="s">
        <v>36</v>
      </c>
      <c r="C38" s="21"/>
      <c r="D38" s="76">
        <f>IF(VLOOKUP(H5,'Raw Data'!A:BX,44,FALSE) = "", 0, VLOOKUP(H5,'Raw Data'!A:BX,44,FALSE))</f>
        <v>0</v>
      </c>
      <c r="E38" s="77"/>
      <c r="F38" s="77"/>
      <c r="G38" s="77"/>
      <c r="H38" s="78">
        <f>D38</f>
        <v>0</v>
      </c>
    </row>
    <row r="39" spans="1:10" ht="15" x14ac:dyDescent="0.2">
      <c r="A39" s="2">
        <f t="shared" si="0"/>
        <v>22</v>
      </c>
      <c r="B39" s="21" t="s">
        <v>37</v>
      </c>
      <c r="C39" s="21"/>
      <c r="D39" s="79">
        <f>INT(0.5 + D38/$H$32*10000000)/10000000</f>
        <v>0</v>
      </c>
      <c r="E39" s="80"/>
      <c r="F39" s="80"/>
      <c r="G39" s="80"/>
      <c r="H39" s="81">
        <f>D39</f>
        <v>0</v>
      </c>
    </row>
    <row r="40" spans="1:10" ht="15" x14ac:dyDescent="0.2">
      <c r="A40" s="2">
        <f t="shared" si="0"/>
        <v>23</v>
      </c>
      <c r="B40" s="21" t="s">
        <v>38</v>
      </c>
      <c r="C40" s="21"/>
      <c r="D40" s="79">
        <f>D35-D39</f>
        <v>0</v>
      </c>
      <c r="E40" s="82">
        <f>E35</f>
        <v>0</v>
      </c>
      <c r="F40" s="82">
        <f>F35</f>
        <v>0</v>
      </c>
      <c r="G40" s="82">
        <f>G35</f>
        <v>8.4369999999999996E-4</v>
      </c>
      <c r="H40" s="73">
        <f t="shared" ref="H40:H46" si="1">SUM(D40:G40)</f>
        <v>8.4369999999999996E-4</v>
      </c>
    </row>
    <row r="41" spans="1:10" ht="15" x14ac:dyDescent="0.2">
      <c r="A41" s="2">
        <f t="shared" si="0"/>
        <v>24</v>
      </c>
      <c r="B41" s="21" t="s">
        <v>39</v>
      </c>
      <c r="C41" s="21"/>
      <c r="D41" s="76">
        <f>ROUND(+D40*$H$32,2)</f>
        <v>0</v>
      </c>
      <c r="E41" s="74">
        <f>ROUND(+E40*$H$32,2)</f>
        <v>0</v>
      </c>
      <c r="F41" s="74">
        <f>ROUND(+F40*$H$32,2)</f>
        <v>0</v>
      </c>
      <c r="G41" s="74">
        <f>ROUND(+G40*$H$32,2)</f>
        <v>1970007.44</v>
      </c>
      <c r="H41" s="75">
        <f t="shared" si="1"/>
        <v>1970007.44</v>
      </c>
    </row>
    <row r="42" spans="1:10"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10"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10" ht="15" x14ac:dyDescent="0.2">
      <c r="A44" s="33" t="s">
        <v>44</v>
      </c>
      <c r="B44" s="21" t="s">
        <v>45</v>
      </c>
      <c r="C44" s="21"/>
      <c r="D44" s="76">
        <f>SUM(D41:D43)</f>
        <v>0</v>
      </c>
      <c r="E44" s="74">
        <f>SUM(E41:E43)</f>
        <v>0</v>
      </c>
      <c r="F44" s="74">
        <f>SUM(F41:F43)</f>
        <v>0</v>
      </c>
      <c r="G44" s="136">
        <f>SUM(G41:G43)</f>
        <v>1970007.44</v>
      </c>
      <c r="H44" s="75">
        <f t="shared" si="1"/>
        <v>1970007.44</v>
      </c>
    </row>
    <row r="45" spans="1:10" ht="15" x14ac:dyDescent="0.2">
      <c r="A45" s="2">
        <v>25</v>
      </c>
      <c r="B45" s="21" t="s">
        <v>46</v>
      </c>
      <c r="C45" s="21"/>
      <c r="D45" s="135">
        <f>VLOOKUP(H5,'Raw Data'!A:BX,58,FALSE)</f>
        <v>0</v>
      </c>
      <c r="E45" s="74">
        <f>IF(VLOOKUP(H5,'Raw Data'!A:BX,59,FALSE) = "", 0, VLOOKUP(H5,'Raw Data'!A:BX,59,FALSE))</f>
        <v>0</v>
      </c>
      <c r="F45" s="74">
        <f>IF(VLOOKUP(H5,'Raw Data'!A:BX,60,FALSE) = "", 0, VLOOKUP(H5,'Raw Data'!A:BX,60,FALSE))</f>
        <v>0</v>
      </c>
      <c r="G45" s="136">
        <f>IF(VLOOKUP(H5,'Raw Data'!A:BX,61,FALSE) = "", 0, VLOOKUP(H5,'Raw Data'!A:BX,61,FALSE))</f>
        <v>1970007.44</v>
      </c>
      <c r="H45" s="75">
        <f t="shared" si="1"/>
        <v>1970007.44</v>
      </c>
    </row>
    <row r="46" spans="1:10" ht="15" x14ac:dyDescent="0.2">
      <c r="A46" s="2">
        <f>+A45+1</f>
        <v>26</v>
      </c>
      <c r="B46" s="21" t="s">
        <v>47</v>
      </c>
      <c r="C46" s="21"/>
      <c r="D46" s="135">
        <f>SUM(D45)-SUM(D44)</f>
        <v>0</v>
      </c>
      <c r="E46" s="74">
        <f>SUM(E45)-SUM(E44)</f>
        <v>0</v>
      </c>
      <c r="F46" s="137">
        <f>SUM(F45)-SUM(F44)</f>
        <v>0</v>
      </c>
      <c r="G46" s="136">
        <f>SUM(G45)-SUM(G44)</f>
        <v>0</v>
      </c>
      <c r="H46" s="75">
        <f t="shared" si="1"/>
        <v>0</v>
      </c>
    </row>
    <row r="47" spans="1:10" ht="15.75" thickBot="1" x14ac:dyDescent="0.25">
      <c r="A47" s="2">
        <f>+A46+1</f>
        <v>27</v>
      </c>
      <c r="B47" s="21" t="s">
        <v>48</v>
      </c>
      <c r="C47" s="21"/>
      <c r="D47" s="85">
        <f>VLOOKUP(H5,'Raw Data'!A:BX,62,FALSE)</f>
        <v>0</v>
      </c>
      <c r="E47" s="86">
        <f>VLOOKUP(H5,'Raw Data'!A:BX,63,FALSE)</f>
        <v>0</v>
      </c>
      <c r="F47" s="86">
        <f>VLOOKUP(H5,'Raw Data'!A:BX,64,FALSE)</f>
        <v>0</v>
      </c>
      <c r="G47" s="77"/>
      <c r="H47" s="87">
        <f>SUM(D47:F47)</f>
        <v>0</v>
      </c>
    </row>
    <row r="48" spans="1:10" ht="16.5" thickBot="1" x14ac:dyDescent="0.3">
      <c r="A48" s="2">
        <f>+A47+1</f>
        <v>28</v>
      </c>
      <c r="B48" s="47" t="s">
        <v>49</v>
      </c>
      <c r="C48" s="47"/>
      <c r="D48" s="138">
        <f>SUM(D44,D46:D47)</f>
        <v>0</v>
      </c>
      <c r="E48" s="140">
        <f>SUM(E44,E46:E47)</f>
        <v>0</v>
      </c>
      <c r="F48" s="140">
        <f>SUM(F44,F46:F47)</f>
        <v>0</v>
      </c>
      <c r="G48" s="139">
        <f>SUM(G44,G46:G47)</f>
        <v>1970007.44</v>
      </c>
      <c r="H48" s="266">
        <f>SUM(D48:G48)</f>
        <v>1970007.44</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3422.01</v>
      </c>
      <c r="H51" s="92">
        <f>G51</f>
        <v>3422.01</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2258.35</v>
      </c>
      <c r="H59" s="104">
        <f t="shared" si="3"/>
        <v>2258.35</v>
      </c>
    </row>
    <row r="60" spans="1:8" ht="17.25" thickTop="1" thickBot="1" x14ac:dyDescent="0.3">
      <c r="A60" s="2">
        <f t="shared" si="2"/>
        <v>38</v>
      </c>
      <c r="B60" s="47" t="s">
        <v>59</v>
      </c>
      <c r="C60" s="47"/>
      <c r="D60" s="105"/>
      <c r="E60" s="106"/>
      <c r="F60" s="107"/>
      <c r="G60" s="109">
        <f>SUM(G51:G59)</f>
        <v>5680.3600000000006</v>
      </c>
      <c r="H60" s="142">
        <f>SUM(H51:H59)</f>
        <v>5680.3600000000006</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0</v>
      </c>
      <c r="E62" s="141">
        <f>E48</f>
        <v>0</v>
      </c>
      <c r="F62" s="141">
        <f>F48</f>
        <v>0</v>
      </c>
      <c r="G62" s="141">
        <f>G48+G60</f>
        <v>1975687.8</v>
      </c>
      <c r="H62" s="142">
        <f>H48+H60</f>
        <v>1975687.8</v>
      </c>
    </row>
    <row r="63" spans="1:8" ht="16.5" thickTop="1" thickBot="1" x14ac:dyDescent="0.25">
      <c r="A63" s="2">
        <f>+A62+1</f>
        <v>40</v>
      </c>
      <c r="B63" s="110" t="s">
        <v>61</v>
      </c>
      <c r="C63" s="110"/>
      <c r="D63" s="111"/>
      <c r="E63" s="112"/>
      <c r="F63" s="112"/>
      <c r="G63" s="112"/>
      <c r="H63" s="113">
        <f>VLOOKUP(H5,'Raw Data'!A:BX,75,FALSE)</f>
        <v>6.0526237599999998E-2</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0" zoomScale="70" zoomScaleNormal="70" workbookViewId="0">
      <selection activeCell="H48" sqref="H48"/>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235</v>
      </c>
    </row>
    <row r="6" spans="1:8" ht="15.75" thickTop="1" x14ac:dyDescent="0.2">
      <c r="A6" s="2">
        <v>1</v>
      </c>
      <c r="B6" s="11" t="s">
        <v>3</v>
      </c>
      <c r="C6" s="150">
        <f>VLOOKUP(H5,'Raw Data'!A:BX,2,FALSE)</f>
        <v>70602000</v>
      </c>
      <c r="D6" s="12"/>
      <c r="E6" s="13"/>
      <c r="F6" s="2"/>
      <c r="G6" s="14"/>
      <c r="H6" s="14"/>
    </row>
    <row r="7" spans="1:8" ht="15" x14ac:dyDescent="0.2">
      <c r="A7" s="2">
        <v>2</v>
      </c>
      <c r="B7" s="11" t="s">
        <v>4</v>
      </c>
      <c r="C7" s="144" t="str">
        <f>VLOOKUP(H5,'Raw Data'!A:BX,4,FALSE)</f>
        <v>690 - COCC</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0</v>
      </c>
      <c r="E21" s="121">
        <f>SUM(E17)</f>
        <v>0</v>
      </c>
      <c r="F21" s="68">
        <f>SUM(F18:F19)</f>
        <v>0</v>
      </c>
      <c r="G21" s="68">
        <f>SUM(G20)</f>
        <v>0</v>
      </c>
      <c r="H21" s="68">
        <f>SUM(D21:G21)</f>
        <v>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0</v>
      </c>
      <c r="H25" s="128">
        <f>+H21-H24</f>
        <v>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2334962000</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2334962000</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6.203999999999999E-4</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0</v>
      </c>
      <c r="H35" s="143">
        <f>SUM(D35:G35)</f>
        <v>6.203999999999999E-4</v>
      </c>
    </row>
    <row r="36" spans="1:8" ht="15" x14ac:dyDescent="0.2">
      <c r="A36" s="2">
        <f t="shared" ref="A36:A41" si="0">+A35+1</f>
        <v>19</v>
      </c>
      <c r="B36" s="21" t="s">
        <v>34</v>
      </c>
      <c r="C36" s="21"/>
      <c r="D36" s="76">
        <f>$H$32*D35</f>
        <v>1448610.4247999997</v>
      </c>
      <c r="E36" s="74">
        <f>+$H$32*E35</f>
        <v>0</v>
      </c>
      <c r="F36" s="74">
        <f>+$H$32*F35</f>
        <v>0</v>
      </c>
      <c r="G36" s="74">
        <f>+$H$32*G35</f>
        <v>0</v>
      </c>
      <c r="H36" s="75">
        <f>SUM(D36:G36)</f>
        <v>1448610.4247999997</v>
      </c>
    </row>
    <row r="37" spans="1:8" ht="15" x14ac:dyDescent="0.2">
      <c r="A37" s="2">
        <f t="shared" si="0"/>
        <v>20</v>
      </c>
      <c r="B37" s="21" t="s">
        <v>35</v>
      </c>
      <c r="C37" s="21"/>
      <c r="D37" s="133">
        <f>IF(D25&lt;&gt;0,+D36-D25,0)</f>
        <v>0</v>
      </c>
      <c r="E37" s="134">
        <f>IF(E25&lt;&gt;0,+E36-E25,0)</f>
        <v>0</v>
      </c>
      <c r="F37" s="132">
        <f>IF(F25&lt;&gt;0,+F36-F25,0)</f>
        <v>0</v>
      </c>
      <c r="G37" s="132">
        <f>IF(G25&lt;&gt;0,+G36-G25,0)</f>
        <v>0</v>
      </c>
      <c r="H37" s="75">
        <f>SUM(D37:G37)</f>
        <v>0</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6.203999999999999E-4</v>
      </c>
      <c r="E40" s="82">
        <f>E35</f>
        <v>0</v>
      </c>
      <c r="F40" s="82">
        <f>F35</f>
        <v>0</v>
      </c>
      <c r="G40" s="82">
        <f>G35</f>
        <v>0</v>
      </c>
      <c r="H40" s="73">
        <f t="shared" ref="H40:H46" si="1">SUM(D40:G40)</f>
        <v>6.203999999999999E-4</v>
      </c>
    </row>
    <row r="41" spans="1:8" ht="15" x14ac:dyDescent="0.2">
      <c r="A41" s="2">
        <f t="shared" si="0"/>
        <v>24</v>
      </c>
      <c r="B41" s="21" t="s">
        <v>39</v>
      </c>
      <c r="C41" s="21"/>
      <c r="D41" s="76">
        <f>ROUND(+D40*$H$32,2)</f>
        <v>1448610.42</v>
      </c>
      <c r="E41" s="74">
        <f>ROUND(+E40*$H$32,2)</f>
        <v>0</v>
      </c>
      <c r="F41" s="74">
        <f>ROUND(+F40*$H$32,2)</f>
        <v>0</v>
      </c>
      <c r="G41" s="74">
        <f>ROUND(+G40*$H$32,2)</f>
        <v>0</v>
      </c>
      <c r="H41" s="75">
        <f t="shared" si="1"/>
        <v>1448610.42</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1448610.42</v>
      </c>
      <c r="E44" s="74">
        <f>SUM(E41:E43)</f>
        <v>0</v>
      </c>
      <c r="F44" s="74">
        <f>SUM(F41:F43)</f>
        <v>0</v>
      </c>
      <c r="G44" s="136">
        <f>SUM(G41:G43)</f>
        <v>0</v>
      </c>
      <c r="H44" s="75">
        <f t="shared" si="1"/>
        <v>1448610.42</v>
      </c>
    </row>
    <row r="45" spans="1:8" ht="15" x14ac:dyDescent="0.2">
      <c r="A45" s="2">
        <v>25</v>
      </c>
      <c r="B45" s="21" t="s">
        <v>46</v>
      </c>
      <c r="C45" s="21"/>
      <c r="D45" s="135">
        <f>VLOOKUP(H5,'Raw Data'!A:BX,58,FALSE)</f>
        <v>1448610.42</v>
      </c>
      <c r="E45" s="74">
        <f>IF(VLOOKUP(H5,'Raw Data'!A:BX,59,FALSE) = "", 0, VLOOKUP(H5,'Raw Data'!A:BX,59,FALSE))</f>
        <v>0</v>
      </c>
      <c r="F45" s="74">
        <f>IF(VLOOKUP(H5,'Raw Data'!A:BX,60,FALSE) = "", 0, VLOOKUP(H5,'Raw Data'!A:BX,60,FALSE))</f>
        <v>0</v>
      </c>
      <c r="G45" s="136">
        <f>IF(VLOOKUP(H5,'Raw Data'!A:BX,61,FALSE) = "", 0, VLOOKUP(H5,'Raw Data'!A:BX,61,FALSE))</f>
        <v>0</v>
      </c>
      <c r="H45" s="75">
        <f t="shared" si="1"/>
        <v>1448610.42</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-19088.099999999999</v>
      </c>
      <c r="E47" s="86">
        <f>VLOOKUP(H5,'Raw Data'!A:BX,63,FALSE)</f>
        <v>0</v>
      </c>
      <c r="F47" s="86">
        <f>VLOOKUP(H5,'Raw Data'!A:BX,64,FALSE)</f>
        <v>0</v>
      </c>
      <c r="G47" s="77"/>
      <c r="H47" s="87">
        <f>SUM(D47:F47)</f>
        <v>-19088.099999999999</v>
      </c>
    </row>
    <row r="48" spans="1:8" ht="16.5" thickBot="1" x14ac:dyDescent="0.3">
      <c r="A48" s="2">
        <f>+A47+1</f>
        <v>28</v>
      </c>
      <c r="B48" s="47" t="s">
        <v>49</v>
      </c>
      <c r="C48" s="47"/>
      <c r="D48" s="138">
        <f>SUM(D44,D46:D47)</f>
        <v>1429522.3199999998</v>
      </c>
      <c r="E48" s="140">
        <f>SUM(E44,E46:E47)</f>
        <v>0</v>
      </c>
      <c r="F48" s="140">
        <f>SUM(F44,F46:F47)</f>
        <v>0</v>
      </c>
      <c r="G48" s="139">
        <f>SUM(G44,G46:G47)</f>
        <v>0</v>
      </c>
      <c r="H48" s="266">
        <f>SUM(D48:G48)</f>
        <v>1429522.3199999998</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2516.3200000000002</v>
      </c>
      <c r="H51" s="92">
        <f>G51</f>
        <v>2516.3200000000002</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1660.64</v>
      </c>
      <c r="H59" s="104">
        <f t="shared" si="3"/>
        <v>1660.64</v>
      </c>
    </row>
    <row r="60" spans="1:8" ht="17.25" thickTop="1" thickBot="1" x14ac:dyDescent="0.3">
      <c r="A60" s="2">
        <f t="shared" si="2"/>
        <v>38</v>
      </c>
      <c r="B60" s="47" t="s">
        <v>59</v>
      </c>
      <c r="C60" s="47"/>
      <c r="D60" s="105"/>
      <c r="E60" s="106"/>
      <c r="F60" s="107"/>
      <c r="G60" s="109">
        <f>SUM(G51:G59)</f>
        <v>4176.96</v>
      </c>
      <c r="H60" s="142">
        <f>SUM(H51:H59)</f>
        <v>4176.96</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1429522.3199999998</v>
      </c>
      <c r="E62" s="141">
        <f>E48</f>
        <v>0</v>
      </c>
      <c r="F62" s="141">
        <f>F48</f>
        <v>0</v>
      </c>
      <c r="G62" s="141">
        <f>G48+G60</f>
        <v>4176.96</v>
      </c>
      <c r="H62" s="142">
        <f>H48+H60</f>
        <v>1433699.2799999998</v>
      </c>
    </row>
    <row r="63" spans="1:8" ht="16.5" thickTop="1" thickBot="1" x14ac:dyDescent="0.25">
      <c r="A63" s="2">
        <f>+A62+1</f>
        <v>40</v>
      </c>
      <c r="B63" s="110" t="s">
        <v>61</v>
      </c>
      <c r="C63" s="110"/>
      <c r="D63" s="111"/>
      <c r="E63" s="112"/>
      <c r="F63" s="112"/>
      <c r="G63" s="112"/>
      <c r="H63" s="113">
        <f>VLOOKUP(H5,'Raw Data'!A:BX,75,FALSE)</f>
        <v>4.3922133500000002E-2</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8"/>
  <sheetViews>
    <sheetView topLeftCell="A16" zoomScale="70" zoomScaleNormal="70" workbookViewId="0">
      <selection activeCell="G20" sqref="G20"/>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 min="10" max="10" width="12.5703125" bestFit="1"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236</v>
      </c>
    </row>
    <row r="6" spans="1:8" ht="15.75" thickTop="1" x14ac:dyDescent="0.2">
      <c r="A6" s="2">
        <v>1</v>
      </c>
      <c r="B6" s="11" t="s">
        <v>3</v>
      </c>
      <c r="C6" s="150">
        <f>VLOOKUP(H5,'Raw Data'!A:BX,2,FALSE)</f>
        <v>70602000</v>
      </c>
      <c r="D6" s="12"/>
      <c r="E6" s="13"/>
      <c r="F6" s="2"/>
      <c r="G6" s="14"/>
      <c r="H6" s="14"/>
    </row>
    <row r="7" spans="1:8" ht="15" x14ac:dyDescent="0.2">
      <c r="A7" s="2">
        <v>2</v>
      </c>
      <c r="B7" s="11" t="s">
        <v>4</v>
      </c>
      <c r="C7" s="144" t="str">
        <f>VLOOKUP(H5,'Raw Data'!A:BX,4,FALSE)</f>
        <v>691 - COCC BOND</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255211.35</v>
      </c>
      <c r="H20" s="119">
        <f>+G20</f>
        <v>255211.35</v>
      </c>
    </row>
    <row r="21" spans="1:8" ht="17.25" thickTop="1" thickBot="1" x14ac:dyDescent="0.3">
      <c r="A21" s="2">
        <f>+A20+1</f>
        <v>10</v>
      </c>
      <c r="B21" s="47" t="s">
        <v>22</v>
      </c>
      <c r="C21" s="47"/>
      <c r="D21" s="120">
        <f>SUM(D16)</f>
        <v>0</v>
      </c>
      <c r="E21" s="121">
        <f>SUM(E17)</f>
        <v>0</v>
      </c>
      <c r="F21" s="68">
        <f>SUM(F18:F19)</f>
        <v>0</v>
      </c>
      <c r="G21" s="68">
        <f>SUM(G20)</f>
        <v>255211.35</v>
      </c>
      <c r="H21" s="68">
        <f>SUM(D21:G21)</f>
        <v>255211.35</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259">
        <f>VLOOKUP(H5,'Raw Data'!A:BX,26,FALSE)</f>
        <v>0</v>
      </c>
      <c r="E24" s="260">
        <f>VLOOKUP(H5,'Raw Data'!A:BX,27,FALSE)</f>
        <v>0</v>
      </c>
      <c r="F24" s="260">
        <f>VLOOKUP(H5,'Raw Data'!A:BX,28,FALSE)</f>
        <v>0</v>
      </c>
      <c r="G24" s="255">
        <f>VLOOKUP(H5,'Raw Data'!A:BX,29,FALSE)</f>
        <v>0</v>
      </c>
      <c r="H24" s="256">
        <f>SUM(D24:G24)</f>
        <v>0</v>
      </c>
    </row>
    <row r="25" spans="1:8" ht="16.5" thickBot="1" x14ac:dyDescent="0.3">
      <c r="A25" s="2">
        <f>+A24+1</f>
        <v>12</v>
      </c>
      <c r="B25" s="47" t="s">
        <v>25</v>
      </c>
      <c r="C25" s="47"/>
      <c r="D25" s="261">
        <f>SUM(D21)-SUM(D24)</f>
        <v>0</v>
      </c>
      <c r="E25" s="257">
        <f>SUM(E21)-SUM(E24)</f>
        <v>0</v>
      </c>
      <c r="F25" s="257">
        <f>SUM(F21)-SUM(F24)</f>
        <v>0</v>
      </c>
      <c r="G25" s="257">
        <f>SUM(G21)-SUM(G24)</f>
        <v>255211.35</v>
      </c>
      <c r="H25" s="258">
        <f>+H21-H24</f>
        <v>255211.35</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2334962000</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2334962000</v>
      </c>
    </row>
    <row r="33" spans="1:10" ht="15.75" thickTop="1" x14ac:dyDescent="0.2">
      <c r="A33" s="2"/>
      <c r="B33" s="21" t="s">
        <v>6</v>
      </c>
      <c r="C33" s="21"/>
      <c r="D33" s="69"/>
      <c r="E33" s="70"/>
      <c r="F33" s="69"/>
      <c r="G33" s="69"/>
      <c r="H33" s="69"/>
    </row>
    <row r="34" spans="1:10" ht="16.5" thickBot="1" x14ac:dyDescent="0.3">
      <c r="A34" s="2"/>
      <c r="B34" s="29" t="s">
        <v>32</v>
      </c>
      <c r="C34" s="29"/>
      <c r="D34" s="69"/>
      <c r="E34" s="70"/>
      <c r="F34" s="69"/>
      <c r="G34" s="69"/>
      <c r="H34" s="69"/>
      <c r="J34" s="262"/>
    </row>
    <row r="35" spans="1:10" ht="15.75" thickTop="1" x14ac:dyDescent="0.2">
      <c r="A35" s="2">
        <f>+A32+1</f>
        <v>18</v>
      </c>
      <c r="B35" s="21" t="s">
        <v>33</v>
      </c>
      <c r="C35" s="21"/>
      <c r="D35" s="71">
        <f>IF(D25&lt;&gt;0,+INT(D25/$H$32*10000000)/10000000,IF(VLOOKUP(H5,'Raw Data'!A:BX,36,FALSE) = "", 0, VLOOKUP(H5,'Raw Data'!A:BX,36,FALSE)/1000))</f>
        <v>0</v>
      </c>
      <c r="E35" s="72">
        <f>IF(E25&lt;&gt;0,+INT(E25/$H$32*10000000)/10000000,IF(VLOOKUP(H5,'Raw Data'!A:BX,37,FALSE) = "", 0, VLOOKUP(H5,'Raw Data'!A:BX,37,FALSE)/1000))</f>
        <v>0</v>
      </c>
      <c r="F35" s="72">
        <f>IF(F25&lt;&gt;0,+INT(F25/$H$32*10000000)/10000000,IF(VLOOKUP(H5,'Raw Data'!A:BX,38,FALSE) = "", 0, VLOOKUP(H5,'Raw Data'!A:BX,38,FALSE)/1000))</f>
        <v>0</v>
      </c>
      <c r="G35" s="72">
        <f>IF(G25&lt;&gt;0,+INT(G25/$H$32*10000000)/10000000,IF(VLOOKUP(H5,'Raw Data'!A:BX,39,FALSE) = "", 0, VLOOKUP(H5,'Raw Data'!A:BX,39,FALSE)/1000))</f>
        <v>1.093E-4</v>
      </c>
      <c r="H35" s="143">
        <f>SUM(D35:G35)</f>
        <v>1.093E-4</v>
      </c>
    </row>
    <row r="36" spans="1:10" ht="15" x14ac:dyDescent="0.2">
      <c r="A36" s="2">
        <f t="shared" ref="A36:A41" si="0">+A35+1</f>
        <v>19</v>
      </c>
      <c r="B36" s="21" t="s">
        <v>34</v>
      </c>
      <c r="C36" s="21"/>
      <c r="D36" s="76">
        <f>$H$32*D35</f>
        <v>0</v>
      </c>
      <c r="E36" s="74">
        <f>+$H$32*E35</f>
        <v>0</v>
      </c>
      <c r="F36" s="74">
        <f>+$H$32*F35</f>
        <v>0</v>
      </c>
      <c r="G36" s="74">
        <f>+$H$32*G35</f>
        <v>255211.34659999999</v>
      </c>
      <c r="H36" s="75">
        <f>SUM(D36:G36)</f>
        <v>255211.34659999999</v>
      </c>
    </row>
    <row r="37" spans="1:10" ht="15" x14ac:dyDescent="0.2">
      <c r="A37" s="2">
        <f t="shared" si="0"/>
        <v>20</v>
      </c>
      <c r="B37" s="21" t="s">
        <v>35</v>
      </c>
      <c r="C37" s="21"/>
      <c r="D37" s="133">
        <f>IF(D25&lt;&gt;0,+D36-D25,0)</f>
        <v>0</v>
      </c>
      <c r="E37" s="134">
        <f>IF(E25&lt;&gt;0,+E36-E25,0)</f>
        <v>0</v>
      </c>
      <c r="F37" s="132">
        <f>IF(F25&lt;&gt;0,+F36-F25,0)</f>
        <v>0</v>
      </c>
      <c r="G37" s="132">
        <f>IF(G25&lt;&gt;0,+G36-G25,0)</f>
        <v>-3.4000000159721822E-3</v>
      </c>
      <c r="H37" s="75">
        <f>SUM(D37:G37)</f>
        <v>-3.4000000159721822E-3</v>
      </c>
    </row>
    <row r="38" spans="1:10" ht="15.75" x14ac:dyDescent="0.25">
      <c r="A38" s="2">
        <f t="shared" si="0"/>
        <v>21</v>
      </c>
      <c r="B38" s="21" t="s">
        <v>36</v>
      </c>
      <c r="C38" s="21"/>
      <c r="D38" s="76">
        <f>IF(VLOOKUP(H5,'Raw Data'!A:BX,44,FALSE) = "", 0, VLOOKUP(H5,'Raw Data'!A:BX,44,FALSE))</f>
        <v>0</v>
      </c>
      <c r="E38" s="77"/>
      <c r="F38" s="77"/>
      <c r="G38" s="77"/>
      <c r="H38" s="78">
        <f>D38</f>
        <v>0</v>
      </c>
    </row>
    <row r="39" spans="1:10" ht="15" x14ac:dyDescent="0.2">
      <c r="A39" s="2">
        <f t="shared" si="0"/>
        <v>22</v>
      </c>
      <c r="B39" s="21" t="s">
        <v>37</v>
      </c>
      <c r="C39" s="21"/>
      <c r="D39" s="79">
        <f>INT(0.5 + D38/$H$32*10000000)/10000000</f>
        <v>0</v>
      </c>
      <c r="E39" s="80"/>
      <c r="F39" s="80"/>
      <c r="G39" s="80"/>
      <c r="H39" s="81">
        <f>D39</f>
        <v>0</v>
      </c>
    </row>
    <row r="40" spans="1:10" ht="15" x14ac:dyDescent="0.2">
      <c r="A40" s="2">
        <f t="shared" si="0"/>
        <v>23</v>
      </c>
      <c r="B40" s="21" t="s">
        <v>38</v>
      </c>
      <c r="C40" s="21"/>
      <c r="D40" s="79">
        <f>D35-D39</f>
        <v>0</v>
      </c>
      <c r="E40" s="82">
        <f>E35</f>
        <v>0</v>
      </c>
      <c r="F40" s="82">
        <f>F35</f>
        <v>0</v>
      </c>
      <c r="G40" s="82">
        <f>G35</f>
        <v>1.093E-4</v>
      </c>
      <c r="H40" s="73">
        <f t="shared" ref="H40:H46" si="1">SUM(D40:G40)</f>
        <v>1.093E-4</v>
      </c>
    </row>
    <row r="41" spans="1:10" ht="15" x14ac:dyDescent="0.2">
      <c r="A41" s="2">
        <f t="shared" si="0"/>
        <v>24</v>
      </c>
      <c r="B41" s="21" t="s">
        <v>39</v>
      </c>
      <c r="C41" s="21"/>
      <c r="D41" s="76">
        <f>ROUND(+D40*$H$32,2)</f>
        <v>0</v>
      </c>
      <c r="E41" s="74">
        <f>ROUND(+E40*$H$32,2)</f>
        <v>0</v>
      </c>
      <c r="F41" s="74">
        <f>ROUND(+F40*$H$32,2)</f>
        <v>0</v>
      </c>
      <c r="G41" s="74">
        <f>ROUND(+G40*$H$32,2)</f>
        <v>255211.35</v>
      </c>
      <c r="H41" s="75">
        <f t="shared" si="1"/>
        <v>255211.35</v>
      </c>
    </row>
    <row r="42" spans="1:10"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10"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10" ht="15" x14ac:dyDescent="0.2">
      <c r="A44" s="33" t="s">
        <v>44</v>
      </c>
      <c r="B44" s="21" t="s">
        <v>45</v>
      </c>
      <c r="C44" s="21"/>
      <c r="D44" s="76">
        <f>SUM(D41:D43)</f>
        <v>0</v>
      </c>
      <c r="E44" s="74">
        <f>SUM(E41:E43)</f>
        <v>0</v>
      </c>
      <c r="F44" s="74">
        <f>SUM(F41:F43)</f>
        <v>0</v>
      </c>
      <c r="G44" s="136">
        <f>SUM(G41:G43)</f>
        <v>255211.35</v>
      </c>
      <c r="H44" s="75">
        <f t="shared" si="1"/>
        <v>255211.35</v>
      </c>
    </row>
    <row r="45" spans="1:10" ht="15" x14ac:dyDescent="0.2">
      <c r="A45" s="2">
        <v>25</v>
      </c>
      <c r="B45" s="21" t="s">
        <v>46</v>
      </c>
      <c r="C45" s="21"/>
      <c r="D45" s="135">
        <f>VLOOKUP(H5,'Raw Data'!A:BX,58,FALSE)</f>
        <v>0</v>
      </c>
      <c r="E45" s="74">
        <f>IF(VLOOKUP(H5,'Raw Data'!A:BX,59,FALSE) = "", 0, VLOOKUP(H5,'Raw Data'!A:BX,59,FALSE))</f>
        <v>0</v>
      </c>
      <c r="F45" s="74">
        <f>IF(VLOOKUP(H5,'Raw Data'!A:BX,60,FALSE) = "", 0, VLOOKUP(H5,'Raw Data'!A:BX,60,FALSE))</f>
        <v>0</v>
      </c>
      <c r="G45" s="136">
        <f>IF(VLOOKUP(H5,'Raw Data'!A:BX,61,FALSE) = "", 0, VLOOKUP(H5,'Raw Data'!A:BX,61,FALSE))</f>
        <v>255211.35</v>
      </c>
      <c r="H45" s="75">
        <f t="shared" si="1"/>
        <v>255211.35</v>
      </c>
    </row>
    <row r="46" spans="1:10" ht="15" x14ac:dyDescent="0.2">
      <c r="A46" s="2">
        <f>+A45+1</f>
        <v>26</v>
      </c>
      <c r="B46" s="21" t="s">
        <v>47</v>
      </c>
      <c r="C46" s="21"/>
      <c r="D46" s="135">
        <f>SUM(D45)-SUM(D44)</f>
        <v>0</v>
      </c>
      <c r="E46" s="74">
        <f>SUM(E45)-SUM(E44)</f>
        <v>0</v>
      </c>
      <c r="F46" s="137">
        <f>SUM(F45)-SUM(F44)</f>
        <v>0</v>
      </c>
      <c r="G46" s="136">
        <f>SUM(G45)-SUM(G44)</f>
        <v>0</v>
      </c>
      <c r="H46" s="75">
        <f t="shared" si="1"/>
        <v>0</v>
      </c>
    </row>
    <row r="47" spans="1:10" ht="15.75" thickBot="1" x14ac:dyDescent="0.25">
      <c r="A47" s="2">
        <f>+A46+1</f>
        <v>27</v>
      </c>
      <c r="B47" s="21" t="s">
        <v>48</v>
      </c>
      <c r="C47" s="21"/>
      <c r="D47" s="85">
        <f>VLOOKUP(H5,'Raw Data'!A:BX,62,FALSE)</f>
        <v>0</v>
      </c>
      <c r="E47" s="86">
        <f>VLOOKUP(H5,'Raw Data'!A:BX,63,FALSE)</f>
        <v>0</v>
      </c>
      <c r="F47" s="86">
        <f>VLOOKUP(H5,'Raw Data'!A:BX,64,FALSE)</f>
        <v>0</v>
      </c>
      <c r="G47" s="77"/>
      <c r="H47" s="87">
        <f>SUM(D47:F47)</f>
        <v>0</v>
      </c>
    </row>
    <row r="48" spans="1:10" ht="16.5" thickBot="1" x14ac:dyDescent="0.3">
      <c r="A48" s="2">
        <f>+A47+1</f>
        <v>28</v>
      </c>
      <c r="B48" s="47" t="s">
        <v>49</v>
      </c>
      <c r="C48" s="47"/>
      <c r="D48" s="138">
        <f>SUM(D44,D46:D47)</f>
        <v>0</v>
      </c>
      <c r="E48" s="140">
        <f>SUM(E44,E46:E47)</f>
        <v>0</v>
      </c>
      <c r="F48" s="140">
        <f>SUM(F44,F46:F47)</f>
        <v>0</v>
      </c>
      <c r="G48" s="139">
        <f>SUM(G44,G46:G47)</f>
        <v>255211.35</v>
      </c>
      <c r="H48" s="266">
        <f>SUM(D48:G48)</f>
        <v>255211.35</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443.31</v>
      </c>
      <c r="H51" s="92">
        <f>G51</f>
        <v>443.31</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292.57</v>
      </c>
      <c r="H59" s="104">
        <f t="shared" si="3"/>
        <v>292.57</v>
      </c>
    </row>
    <row r="60" spans="1:8" ht="17.25" thickTop="1" thickBot="1" x14ac:dyDescent="0.3">
      <c r="A60" s="2">
        <f t="shared" si="2"/>
        <v>38</v>
      </c>
      <c r="B60" s="47" t="s">
        <v>59</v>
      </c>
      <c r="C60" s="47"/>
      <c r="D60" s="105"/>
      <c r="E60" s="106"/>
      <c r="F60" s="107"/>
      <c r="G60" s="109">
        <f>SUM(G51:G59)</f>
        <v>735.88</v>
      </c>
      <c r="H60" s="142">
        <f>SUM(H51:H59)</f>
        <v>735.88</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0</v>
      </c>
      <c r="E62" s="141">
        <f>E48</f>
        <v>0</v>
      </c>
      <c r="F62" s="141">
        <f>F48</f>
        <v>0</v>
      </c>
      <c r="G62" s="141">
        <f>G48+G60</f>
        <v>255947.23</v>
      </c>
      <c r="H62" s="142">
        <f>H48+H60</f>
        <v>255947.23</v>
      </c>
    </row>
    <row r="63" spans="1:8" ht="16.5" thickTop="1" thickBot="1" x14ac:dyDescent="0.25">
      <c r="A63" s="2">
        <f>+A62+1</f>
        <v>40</v>
      </c>
      <c r="B63" s="110" t="s">
        <v>61</v>
      </c>
      <c r="C63" s="110"/>
      <c r="D63" s="111"/>
      <c r="E63" s="112"/>
      <c r="F63" s="112"/>
      <c r="G63" s="112"/>
      <c r="H63" s="113">
        <f>VLOOKUP(H5,'Raw Data'!A:BX,75,FALSE)</f>
        <v>7.8410783999999997E-3</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0" zoomScale="70" zoomScaleNormal="70" workbookViewId="0">
      <selection activeCell="H48" sqref="H48"/>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237</v>
      </c>
    </row>
    <row r="6" spans="1:8" ht="15.75" thickTop="1" x14ac:dyDescent="0.2">
      <c r="A6" s="2">
        <v>1</v>
      </c>
      <c r="B6" s="11" t="s">
        <v>3</v>
      </c>
      <c r="C6" s="150">
        <f>VLOOKUP(H5,'Raw Data'!A:BX,2,FALSE)</f>
        <v>72720000</v>
      </c>
      <c r="D6" s="12"/>
      <c r="E6" s="13"/>
      <c r="F6" s="2"/>
      <c r="G6" s="14"/>
      <c r="H6" s="14"/>
    </row>
    <row r="7" spans="1:8" ht="15" x14ac:dyDescent="0.2">
      <c r="A7" s="2">
        <v>2</v>
      </c>
      <c r="B7" s="11" t="s">
        <v>4</v>
      </c>
      <c r="C7" s="144" t="str">
        <f>VLOOKUP(H5,'Raw Data'!A:BX,4,FALSE)</f>
        <v>692 - CITY OF PRINEVILLE</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0</v>
      </c>
      <c r="E21" s="121">
        <f>SUM(E17)</f>
        <v>0</v>
      </c>
      <c r="F21" s="68">
        <f>SUM(F18:F19)</f>
        <v>0</v>
      </c>
      <c r="G21" s="68">
        <f>SUM(G20)</f>
        <v>0</v>
      </c>
      <c r="H21" s="68">
        <f>SUM(D21:G21)</f>
        <v>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0</v>
      </c>
      <c r="H25" s="128">
        <f>+H21-H24</f>
        <v>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779373388</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779373388</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3.0225E-3</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0</v>
      </c>
      <c r="H35" s="143">
        <f>SUM(D35:G35)</f>
        <v>3.0225E-3</v>
      </c>
    </row>
    <row r="36" spans="1:8" ht="15" x14ac:dyDescent="0.2">
      <c r="A36" s="2">
        <f t="shared" ref="A36:A41" si="0">+A35+1</f>
        <v>19</v>
      </c>
      <c r="B36" s="21" t="s">
        <v>34</v>
      </c>
      <c r="C36" s="21"/>
      <c r="D36" s="76">
        <f>$H$32*D35</f>
        <v>2355656.0652299998</v>
      </c>
      <c r="E36" s="74">
        <f>+$H$32*E35</f>
        <v>0</v>
      </c>
      <c r="F36" s="74">
        <f>+$H$32*F35</f>
        <v>0</v>
      </c>
      <c r="G36" s="74">
        <f>+$H$32*G35</f>
        <v>0</v>
      </c>
      <c r="H36" s="75">
        <f>SUM(D36:G36)</f>
        <v>2355656.0652299998</v>
      </c>
    </row>
    <row r="37" spans="1:8" ht="15" x14ac:dyDescent="0.2">
      <c r="A37" s="2">
        <f t="shared" si="0"/>
        <v>20</v>
      </c>
      <c r="B37" s="21" t="s">
        <v>35</v>
      </c>
      <c r="C37" s="21"/>
      <c r="D37" s="133">
        <f>IF(D25&lt;&gt;0,+D36-D25,0)</f>
        <v>0</v>
      </c>
      <c r="E37" s="134">
        <f>IF(E25&lt;&gt;0,+E36-E25,0)</f>
        <v>0</v>
      </c>
      <c r="F37" s="132">
        <f>IF(F25&lt;&gt;0,+F36-F25,0)</f>
        <v>0</v>
      </c>
      <c r="G37" s="132">
        <f>IF(G25&lt;&gt;0,+G36-G25,0)</f>
        <v>0</v>
      </c>
      <c r="H37" s="75">
        <f>SUM(D37:G37)</f>
        <v>0</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3.0225E-3</v>
      </c>
      <c r="E40" s="82">
        <f>E35</f>
        <v>0</v>
      </c>
      <c r="F40" s="82">
        <f>F35</f>
        <v>0</v>
      </c>
      <c r="G40" s="82">
        <f>G35</f>
        <v>0</v>
      </c>
      <c r="H40" s="73">
        <f t="shared" ref="H40:H46" si="1">SUM(D40:G40)</f>
        <v>3.0225E-3</v>
      </c>
    </row>
    <row r="41" spans="1:8" ht="15" x14ac:dyDescent="0.2">
      <c r="A41" s="2">
        <f t="shared" si="0"/>
        <v>24</v>
      </c>
      <c r="B41" s="21" t="s">
        <v>39</v>
      </c>
      <c r="C41" s="21"/>
      <c r="D41" s="76">
        <f>ROUND(+D40*$H$32,2)</f>
        <v>2355656.0699999998</v>
      </c>
      <c r="E41" s="74">
        <f>ROUND(+E40*$H$32,2)</f>
        <v>0</v>
      </c>
      <c r="F41" s="74">
        <f>ROUND(+F40*$H$32,2)</f>
        <v>0</v>
      </c>
      <c r="G41" s="74">
        <f>ROUND(+G40*$H$32,2)</f>
        <v>0</v>
      </c>
      <c r="H41" s="75">
        <f t="shared" si="1"/>
        <v>2355656.0699999998</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2355656.0699999998</v>
      </c>
      <c r="E44" s="74">
        <f>SUM(E41:E43)</f>
        <v>0</v>
      </c>
      <c r="F44" s="74">
        <f>SUM(F41:F43)</f>
        <v>0</v>
      </c>
      <c r="G44" s="136">
        <f>SUM(G41:G43)</f>
        <v>0</v>
      </c>
      <c r="H44" s="75">
        <f t="shared" si="1"/>
        <v>2355656.0699999998</v>
      </c>
    </row>
    <row r="45" spans="1:8" ht="15" x14ac:dyDescent="0.2">
      <c r="A45" s="2">
        <v>25</v>
      </c>
      <c r="B45" s="21" t="s">
        <v>46</v>
      </c>
      <c r="C45" s="21"/>
      <c r="D45" s="135">
        <f>VLOOKUP(H5,'Raw Data'!A:BX,58,FALSE)</f>
        <v>2355656.0699999998</v>
      </c>
      <c r="E45" s="74">
        <f>IF(VLOOKUP(H5,'Raw Data'!A:BX,59,FALSE) = "", 0, VLOOKUP(H5,'Raw Data'!A:BX,59,FALSE))</f>
        <v>0</v>
      </c>
      <c r="F45" s="74">
        <f>IF(VLOOKUP(H5,'Raw Data'!A:BX,60,FALSE) = "", 0, VLOOKUP(H5,'Raw Data'!A:BX,60,FALSE))</f>
        <v>0</v>
      </c>
      <c r="G45" s="136">
        <f>IF(VLOOKUP(H5,'Raw Data'!A:BX,61,FALSE) = "", 0, VLOOKUP(H5,'Raw Data'!A:BX,61,FALSE))</f>
        <v>0</v>
      </c>
      <c r="H45" s="75">
        <f t="shared" si="1"/>
        <v>2355656.0699999998</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-163.27000000000001</v>
      </c>
      <c r="E47" s="86">
        <f>VLOOKUP(H5,'Raw Data'!A:BX,63,FALSE)</f>
        <v>0</v>
      </c>
      <c r="F47" s="86">
        <f>VLOOKUP(H5,'Raw Data'!A:BX,64,FALSE)</f>
        <v>0</v>
      </c>
      <c r="G47" s="77"/>
      <c r="H47" s="87">
        <f>SUM(D47:F47)</f>
        <v>-163.27000000000001</v>
      </c>
    </row>
    <row r="48" spans="1:8" ht="16.5" thickBot="1" x14ac:dyDescent="0.3">
      <c r="A48" s="2">
        <f>+A47+1</f>
        <v>28</v>
      </c>
      <c r="B48" s="47" t="s">
        <v>49</v>
      </c>
      <c r="C48" s="47"/>
      <c r="D48" s="138">
        <f>SUM(D44,D46:D47)</f>
        <v>2355492.7999999998</v>
      </c>
      <c r="E48" s="140">
        <f>SUM(E44,E46:E47)</f>
        <v>0</v>
      </c>
      <c r="F48" s="140">
        <f>SUM(F44,F46:F47)</f>
        <v>0</v>
      </c>
      <c r="G48" s="139">
        <f>SUM(G44,G46:G47)</f>
        <v>0</v>
      </c>
      <c r="H48" s="266">
        <f>SUM(D48:G48)</f>
        <v>2355492.7999999998</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168</v>
      </c>
      <c r="H51" s="92">
        <f>G51</f>
        <v>168</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3316.95</v>
      </c>
      <c r="H59" s="104">
        <f t="shared" si="3"/>
        <v>3316.95</v>
      </c>
    </row>
    <row r="60" spans="1:8" ht="17.25" thickTop="1" thickBot="1" x14ac:dyDescent="0.3">
      <c r="A60" s="2">
        <f t="shared" si="2"/>
        <v>38</v>
      </c>
      <c r="B60" s="47" t="s">
        <v>59</v>
      </c>
      <c r="C60" s="47"/>
      <c r="D60" s="105"/>
      <c r="E60" s="106"/>
      <c r="F60" s="107"/>
      <c r="G60" s="109">
        <f>SUM(G51:G59)</f>
        <v>3484.95</v>
      </c>
      <c r="H60" s="142">
        <f>SUM(H51:H59)</f>
        <v>3484.95</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2355492.7999999998</v>
      </c>
      <c r="E62" s="141">
        <f>E48</f>
        <v>0</v>
      </c>
      <c r="F62" s="141">
        <f>F48</f>
        <v>0</v>
      </c>
      <c r="G62" s="141">
        <f>G48+G60</f>
        <v>3484.95</v>
      </c>
      <c r="H62" s="142">
        <f>H48+H60</f>
        <v>2358977.75</v>
      </c>
    </row>
    <row r="63" spans="1:8" ht="16.5" thickTop="1" thickBot="1" x14ac:dyDescent="0.25">
      <c r="A63" s="2">
        <f>+A62+1</f>
        <v>40</v>
      </c>
      <c r="B63" s="110" t="s">
        <v>61</v>
      </c>
      <c r="C63" s="110"/>
      <c r="D63" s="111"/>
      <c r="E63" s="112"/>
      <c r="F63" s="112"/>
      <c r="G63" s="112"/>
      <c r="H63" s="113">
        <f>VLOOKUP(H5,'Raw Data'!A:BX,75,FALSE)</f>
        <v>7.2268527400000004E-2</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ageMargins left="0.7" right="0.7" top="0.75" bottom="0.75" header="0.3" footer="0.3"/>
  <pageSetup scale="45"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3" zoomScale="70" zoomScaleNormal="70" workbookViewId="0">
      <selection activeCell="H5" sqref="H5"/>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238</v>
      </c>
    </row>
    <row r="6" spans="1:8" ht="15.75" thickTop="1" x14ac:dyDescent="0.2">
      <c r="A6" s="2">
        <v>1</v>
      </c>
      <c r="B6" s="11" t="s">
        <v>3</v>
      </c>
      <c r="C6" s="150">
        <f>VLOOKUP(H5,'Raw Data'!A:BX,2,FALSE)</f>
        <v>71262009</v>
      </c>
      <c r="D6" s="12"/>
      <c r="E6" s="13"/>
      <c r="F6" s="2"/>
      <c r="G6" s="14"/>
      <c r="H6" s="14"/>
    </row>
    <row r="7" spans="1:8" ht="15" x14ac:dyDescent="0.2">
      <c r="A7" s="2">
        <v>2</v>
      </c>
      <c r="B7" s="11" t="s">
        <v>4</v>
      </c>
      <c r="C7" s="144" t="str">
        <f>VLOOKUP(H5,'Raw Data'!A:BX,4,FALSE)</f>
        <v>OCHOCO WEST WATER &amp; SANITARY AUTHORITY</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0</v>
      </c>
      <c r="E21" s="121">
        <f>SUM(E17)</f>
        <v>0</v>
      </c>
      <c r="F21" s="68">
        <f>SUM(F18:F19)</f>
        <v>0</v>
      </c>
      <c r="G21" s="68">
        <f>SUM(G20)</f>
        <v>0</v>
      </c>
      <c r="H21" s="68">
        <f>SUM(D21:G21)</f>
        <v>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0</v>
      </c>
      <c r="H25" s="128">
        <f>+H21-H24</f>
        <v>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24502442</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24502442</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2.8146E-3</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0</v>
      </c>
      <c r="H35" s="143">
        <f>SUM(D35:G35)</f>
        <v>2.8146E-3</v>
      </c>
    </row>
    <row r="36" spans="1:8" ht="15" x14ac:dyDescent="0.2">
      <c r="A36" s="2">
        <f t="shared" ref="A36:A41" si="0">+A35+1</f>
        <v>19</v>
      </c>
      <c r="B36" s="21" t="s">
        <v>34</v>
      </c>
      <c r="C36" s="21"/>
      <c r="D36" s="76">
        <f>$H$32*D35</f>
        <v>68964.573253199997</v>
      </c>
      <c r="E36" s="74">
        <f>+$H$32*E35</f>
        <v>0</v>
      </c>
      <c r="F36" s="74">
        <f>+$H$32*F35</f>
        <v>0</v>
      </c>
      <c r="G36" s="74">
        <f>+$H$32*G35</f>
        <v>0</v>
      </c>
      <c r="H36" s="75">
        <f>SUM(D36:G36)</f>
        <v>68964.573253199997</v>
      </c>
    </row>
    <row r="37" spans="1:8" ht="15" x14ac:dyDescent="0.2">
      <c r="A37" s="2">
        <f t="shared" si="0"/>
        <v>20</v>
      </c>
      <c r="B37" s="21" t="s">
        <v>35</v>
      </c>
      <c r="C37" s="21"/>
      <c r="D37" s="133">
        <f>IF(D25&lt;&gt;0,+D36-D25,0)</f>
        <v>0</v>
      </c>
      <c r="E37" s="134">
        <f>IF(E25&lt;&gt;0,+E36-E25,0)</f>
        <v>0</v>
      </c>
      <c r="F37" s="132">
        <f>IF(F25&lt;&gt;0,+F36-F25,0)</f>
        <v>0</v>
      </c>
      <c r="G37" s="132">
        <f>IF(G25&lt;&gt;0,+G36-G25,0)</f>
        <v>0</v>
      </c>
      <c r="H37" s="75">
        <f>SUM(D37:G37)</f>
        <v>0</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2.8146E-3</v>
      </c>
      <c r="E40" s="82">
        <f>E35</f>
        <v>0</v>
      </c>
      <c r="F40" s="82">
        <f>F35</f>
        <v>0</v>
      </c>
      <c r="G40" s="82">
        <f>G35</f>
        <v>0</v>
      </c>
      <c r="H40" s="73">
        <f t="shared" ref="H40:H46" si="1">SUM(D40:G40)</f>
        <v>2.8146E-3</v>
      </c>
    </row>
    <row r="41" spans="1:8" ht="15" x14ac:dyDescent="0.2">
      <c r="A41" s="2">
        <f t="shared" si="0"/>
        <v>24</v>
      </c>
      <c r="B41" s="21" t="s">
        <v>39</v>
      </c>
      <c r="C41" s="21"/>
      <c r="D41" s="76">
        <f>ROUND(+D40*$H$32,2)</f>
        <v>68964.570000000007</v>
      </c>
      <c r="E41" s="74">
        <f>ROUND(+E40*$H$32,2)</f>
        <v>0</v>
      </c>
      <c r="F41" s="74">
        <f>ROUND(+F40*$H$32,2)</f>
        <v>0</v>
      </c>
      <c r="G41" s="74">
        <f>ROUND(+G40*$H$32,2)</f>
        <v>0</v>
      </c>
      <c r="H41" s="75">
        <f t="shared" si="1"/>
        <v>68964.570000000007</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68964.570000000007</v>
      </c>
      <c r="E44" s="74">
        <f>SUM(E41:E43)</f>
        <v>0</v>
      </c>
      <c r="F44" s="74">
        <f>SUM(F41:F43)</f>
        <v>0</v>
      </c>
      <c r="G44" s="136">
        <f>SUM(G41:G43)</f>
        <v>0</v>
      </c>
      <c r="H44" s="75">
        <f t="shared" si="1"/>
        <v>68964.570000000007</v>
      </c>
    </row>
    <row r="45" spans="1:8" ht="15" x14ac:dyDescent="0.2">
      <c r="A45" s="2">
        <v>25</v>
      </c>
      <c r="B45" s="21" t="s">
        <v>46</v>
      </c>
      <c r="C45" s="21"/>
      <c r="D45" s="135">
        <f>VLOOKUP(H5,'Raw Data'!A:BX,58,FALSE)</f>
        <v>68964.570000000007</v>
      </c>
      <c r="E45" s="74">
        <f>IF(VLOOKUP(H5,'Raw Data'!A:BX,59,FALSE) = "", 0, VLOOKUP(H5,'Raw Data'!A:BX,59,FALSE))</f>
        <v>0</v>
      </c>
      <c r="F45" s="74">
        <f>IF(VLOOKUP(H5,'Raw Data'!A:BX,60,FALSE) = "", 0, VLOOKUP(H5,'Raw Data'!A:BX,60,FALSE))</f>
        <v>0</v>
      </c>
      <c r="G45" s="136">
        <f>IF(VLOOKUP(H5,'Raw Data'!A:BX,61,FALSE) = "", 0, VLOOKUP(H5,'Raw Data'!A:BX,61,FALSE))</f>
        <v>0</v>
      </c>
      <c r="H45" s="75">
        <f t="shared" si="1"/>
        <v>68964.570000000007</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0</v>
      </c>
      <c r="E47" s="86">
        <f>VLOOKUP(H5,'Raw Data'!A:BX,63,FALSE)</f>
        <v>0</v>
      </c>
      <c r="F47" s="86">
        <f>VLOOKUP(H5,'Raw Data'!A:BX,64,FALSE)</f>
        <v>0</v>
      </c>
      <c r="G47" s="77"/>
      <c r="H47" s="87">
        <f>SUM(D47:F47)</f>
        <v>0</v>
      </c>
    </row>
    <row r="48" spans="1:8" ht="16.5" thickBot="1" x14ac:dyDescent="0.3">
      <c r="A48" s="2">
        <f>+A47+1</f>
        <v>28</v>
      </c>
      <c r="B48" s="47" t="s">
        <v>49</v>
      </c>
      <c r="C48" s="47"/>
      <c r="D48" s="138">
        <f>SUM(D44,D46:D47)</f>
        <v>68964.570000000007</v>
      </c>
      <c r="E48" s="140">
        <f>SUM(E44,E46:E47)</f>
        <v>0</v>
      </c>
      <c r="F48" s="140">
        <f>SUM(F44,F46:F47)</f>
        <v>0</v>
      </c>
      <c r="G48" s="139">
        <f>SUM(G44,G46:G47)</f>
        <v>0</v>
      </c>
      <c r="H48" s="266">
        <f>SUM(D48:G48)</f>
        <v>68964.570000000007</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0</v>
      </c>
      <c r="H51" s="92">
        <f>G51</f>
        <v>0</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0</v>
      </c>
      <c r="H59" s="104">
        <f t="shared" si="3"/>
        <v>0</v>
      </c>
    </row>
    <row r="60" spans="1:8" ht="17.25" thickTop="1" thickBot="1" x14ac:dyDescent="0.3">
      <c r="A60" s="2">
        <f t="shared" si="2"/>
        <v>38</v>
      </c>
      <c r="B60" s="47" t="s">
        <v>59</v>
      </c>
      <c r="C60" s="47"/>
      <c r="D60" s="105"/>
      <c r="E60" s="106"/>
      <c r="F60" s="107"/>
      <c r="G60" s="109">
        <f>SUM(G51:G59)</f>
        <v>0</v>
      </c>
      <c r="H60" s="142">
        <f>SUM(H51:H59)</f>
        <v>0</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68964.570000000007</v>
      </c>
      <c r="E62" s="141">
        <f>E48</f>
        <v>0</v>
      </c>
      <c r="F62" s="141">
        <f>F48</f>
        <v>0</v>
      </c>
      <c r="G62" s="141">
        <f>G48+G60</f>
        <v>0</v>
      </c>
      <c r="H62" s="142">
        <f>H48+H60</f>
        <v>68964.570000000007</v>
      </c>
    </row>
    <row r="63" spans="1:8" ht="16.5" thickTop="1" thickBot="1" x14ac:dyDescent="0.25">
      <c r="A63" s="2">
        <f>+A62+1</f>
        <v>40</v>
      </c>
      <c r="B63" s="110" t="s">
        <v>61</v>
      </c>
      <c r="C63" s="110"/>
      <c r="D63" s="111"/>
      <c r="E63" s="112"/>
      <c r="F63" s="112"/>
      <c r="G63" s="112"/>
      <c r="H63" s="113">
        <f>VLOOKUP(H5,'Raw Data'!A:BX,75,FALSE)</f>
        <v>2.1127659999999999E-3</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ageMargins left="0.7" right="0.7" top="0.75" bottom="0.75" header="0.3" footer="0.3"/>
  <pageSetup scale="4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3" zoomScale="70" zoomScaleNormal="70" workbookViewId="0">
      <selection activeCell="H48" sqref="H48"/>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243</v>
      </c>
    </row>
    <row r="6" spans="1:8" ht="15.75" thickTop="1" x14ac:dyDescent="0.2">
      <c r="A6" s="2">
        <v>1</v>
      </c>
      <c r="B6" s="11" t="s">
        <v>3</v>
      </c>
      <c r="C6" s="150" t="str">
        <f>VLOOKUP(H5,'Raw Data'!A:BX,2,FALSE)</f>
        <v>New District Approve</v>
      </c>
      <c r="D6" s="12"/>
      <c r="E6" s="13"/>
      <c r="F6" s="2"/>
      <c r="G6" s="14"/>
      <c r="H6" s="14"/>
    </row>
    <row r="7" spans="1:8" ht="15" x14ac:dyDescent="0.2">
      <c r="A7" s="2">
        <v>2</v>
      </c>
      <c r="B7" s="11" t="s">
        <v>4</v>
      </c>
      <c r="C7" s="144" t="str">
        <f>VLOOKUP(H5,'Raw Data'!A:BX,4,FALSE)</f>
        <v>ALFALFA FIRE DISTRICT</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0</v>
      </c>
      <c r="E21" s="121">
        <f>SUM(E17)</f>
        <v>0</v>
      </c>
      <c r="F21" s="68">
        <f>SUM(F18:F19)</f>
        <v>0</v>
      </c>
      <c r="G21" s="68">
        <f>SUM(G20)</f>
        <v>0</v>
      </c>
      <c r="H21" s="68">
        <f>SUM(D21:G21)</f>
        <v>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0</v>
      </c>
      <c r="H25" s="128">
        <f>+H21-H24</f>
        <v>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4657257</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4657257</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1.75E-3</v>
      </c>
      <c r="E35" s="72">
        <f>IF(E25&lt;&gt;0,+INT(E25/$H$32*10000000)/10000000,IF(VLOOKUP(H5,'Raw Data'!A:BX,37,FALSE) = "", 0, VLOOKUP(H5,'Raw Data'!A:BX,37,FALSE)/1000))</f>
        <v>0</v>
      </c>
      <c r="F35" s="72">
        <f>IF(F25&lt;&gt;0,+INT(F25/$H$32*10000000)/10000000,IF(VLOOKUP(H5,'Raw Data'!A:BX,38,FALSE) = "", 0, VLOOKUP(H5,'Raw Data'!A:BX,38,FALSE)/1000))</f>
        <v>0</v>
      </c>
      <c r="G35" s="72">
        <f>IF(G25&lt;&gt;0,+INT(G25/$H$32*10000000)/10000000,IF(VLOOKUP(H5,'Raw Data'!A:BX,39,FALSE) = "", 0, VLOOKUP(H5,'Raw Data'!A:BX,39,FALSE)/1000))</f>
        <v>0</v>
      </c>
      <c r="H35" s="143">
        <f>SUM(D35:G35)</f>
        <v>1.75E-3</v>
      </c>
    </row>
    <row r="36" spans="1:8" ht="15" x14ac:dyDescent="0.2">
      <c r="A36" s="2">
        <f t="shared" ref="A36:A41" si="0">+A35+1</f>
        <v>19</v>
      </c>
      <c r="B36" s="21" t="s">
        <v>34</v>
      </c>
      <c r="C36" s="21"/>
      <c r="D36" s="76">
        <f>$H$32*D35</f>
        <v>8150.1997499999998</v>
      </c>
      <c r="E36" s="74">
        <f>+$H$32*E35</f>
        <v>0</v>
      </c>
      <c r="F36" s="74">
        <f>+$H$32*F35</f>
        <v>0</v>
      </c>
      <c r="G36" s="74">
        <f>+$H$32*G35</f>
        <v>0</v>
      </c>
      <c r="H36" s="75">
        <f>SUM(D36:G36)</f>
        <v>8150.1997499999998</v>
      </c>
    </row>
    <row r="37" spans="1:8" ht="15" x14ac:dyDescent="0.2">
      <c r="A37" s="2">
        <f t="shared" si="0"/>
        <v>20</v>
      </c>
      <c r="B37" s="21" t="s">
        <v>35</v>
      </c>
      <c r="C37" s="21"/>
      <c r="D37" s="133">
        <f>IF(D25&lt;&gt;0,+D36-D25,0)</f>
        <v>0</v>
      </c>
      <c r="E37" s="134">
        <f>IF(E25&lt;&gt;0,+E36-E25,0)</f>
        <v>0</v>
      </c>
      <c r="F37" s="132">
        <f>IF(F25&lt;&gt;0,+F36-F25,0)</f>
        <v>0</v>
      </c>
      <c r="G37" s="132">
        <f>IF(G25&lt;&gt;0,+G36-G25,0)</f>
        <v>0</v>
      </c>
      <c r="H37" s="75">
        <f>SUM(D37:G37)</f>
        <v>0</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1.75E-3</v>
      </c>
      <c r="E40" s="82">
        <f>E35</f>
        <v>0</v>
      </c>
      <c r="F40" s="82">
        <f>F35</f>
        <v>0</v>
      </c>
      <c r="G40" s="82">
        <f>G35</f>
        <v>0</v>
      </c>
      <c r="H40" s="73">
        <f t="shared" ref="H40:H46" si="1">SUM(D40:G40)</f>
        <v>1.75E-3</v>
      </c>
    </row>
    <row r="41" spans="1:8" ht="15" x14ac:dyDescent="0.2">
      <c r="A41" s="2">
        <f t="shared" si="0"/>
        <v>24</v>
      </c>
      <c r="B41" s="21" t="s">
        <v>39</v>
      </c>
      <c r="C41" s="21"/>
      <c r="D41" s="76">
        <f>ROUND(+D40*$H$32,2)</f>
        <v>8150.2</v>
      </c>
      <c r="E41" s="74">
        <f>ROUND(+E40*$H$32,2)</f>
        <v>0</v>
      </c>
      <c r="F41" s="74">
        <f>ROUND(+F40*$H$32,2)</f>
        <v>0</v>
      </c>
      <c r="G41" s="74">
        <f>ROUND(+G40*$H$32,2)</f>
        <v>0</v>
      </c>
      <c r="H41" s="75">
        <f t="shared" si="1"/>
        <v>8150.2</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8150.2</v>
      </c>
      <c r="E44" s="74">
        <f>SUM(E41:E43)</f>
        <v>0</v>
      </c>
      <c r="F44" s="74">
        <f>SUM(F41:F43)</f>
        <v>0</v>
      </c>
      <c r="G44" s="136">
        <f>SUM(G41:G43)</f>
        <v>0</v>
      </c>
      <c r="H44" s="75">
        <f t="shared" si="1"/>
        <v>8150.2</v>
      </c>
    </row>
    <row r="45" spans="1:8" ht="15" x14ac:dyDescent="0.2">
      <c r="A45" s="2">
        <v>25</v>
      </c>
      <c r="B45" s="21" t="s">
        <v>46</v>
      </c>
      <c r="C45" s="21"/>
      <c r="D45" s="135">
        <f>VLOOKUP(H5,'Raw Data'!A:BX,58,FALSE)</f>
        <v>8150.2</v>
      </c>
      <c r="E45" s="74">
        <f>IF(VLOOKUP(H5,'Raw Data'!A:BX,59,FALSE) = "", 0, VLOOKUP(H5,'Raw Data'!A:BX,59,FALSE))</f>
        <v>0</v>
      </c>
      <c r="F45" s="74">
        <f>IF(VLOOKUP(H5,'Raw Data'!A:BX,60,FALSE) = "", 0, VLOOKUP(H5,'Raw Data'!A:BX,60,FALSE))</f>
        <v>0</v>
      </c>
      <c r="G45" s="136">
        <f>IF(VLOOKUP(H5,'Raw Data'!A:BX,61,FALSE) = "", 0, VLOOKUP(H5,'Raw Data'!A:BX,61,FALSE))</f>
        <v>0</v>
      </c>
      <c r="H45" s="75">
        <f t="shared" si="1"/>
        <v>8150.2</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0</v>
      </c>
      <c r="E47" s="86">
        <f>VLOOKUP(H5,'Raw Data'!A:BX,63,FALSE)</f>
        <v>0</v>
      </c>
      <c r="F47" s="86">
        <f>VLOOKUP(H5,'Raw Data'!A:BX,64,FALSE)</f>
        <v>0</v>
      </c>
      <c r="G47" s="77"/>
      <c r="H47" s="87">
        <f>SUM(D47:F47)</f>
        <v>0</v>
      </c>
    </row>
    <row r="48" spans="1:8" ht="16.5" thickBot="1" x14ac:dyDescent="0.3">
      <c r="A48" s="2">
        <f>+A47+1</f>
        <v>28</v>
      </c>
      <c r="B48" s="47" t="s">
        <v>49</v>
      </c>
      <c r="C48" s="47"/>
      <c r="D48" s="138">
        <f>SUM(D44,D46:D47)</f>
        <v>8150.2</v>
      </c>
      <c r="E48" s="140">
        <f>SUM(E44,E46:E47)</f>
        <v>0</v>
      </c>
      <c r="F48" s="140">
        <f>SUM(F44,F46:F47)</f>
        <v>0</v>
      </c>
      <c r="G48" s="139">
        <f>SUM(G44,G46:G47)</f>
        <v>0</v>
      </c>
      <c r="H48" s="266">
        <f>SUM(D48:G48)</f>
        <v>8150.2</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0</v>
      </c>
      <c r="H51" s="92">
        <f>G51</f>
        <v>0</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0</v>
      </c>
      <c r="H59" s="104">
        <f t="shared" si="3"/>
        <v>0</v>
      </c>
    </row>
    <row r="60" spans="1:8" ht="17.25" thickTop="1" thickBot="1" x14ac:dyDescent="0.3">
      <c r="A60" s="2">
        <f t="shared" si="2"/>
        <v>38</v>
      </c>
      <c r="B60" s="47" t="s">
        <v>59</v>
      </c>
      <c r="C60" s="47"/>
      <c r="D60" s="105"/>
      <c r="E60" s="106"/>
      <c r="F60" s="107"/>
      <c r="G60" s="109">
        <f>SUM(G51:G59)</f>
        <v>0</v>
      </c>
      <c r="H60" s="142">
        <f>SUM(H51:H59)</f>
        <v>0</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8150.2</v>
      </c>
      <c r="E62" s="141">
        <f>E48</f>
        <v>0</v>
      </c>
      <c r="F62" s="141">
        <f>F48</f>
        <v>0</v>
      </c>
      <c r="G62" s="141">
        <f>G48+G60</f>
        <v>0</v>
      </c>
      <c r="H62" s="142">
        <f>H48+H60</f>
        <v>8150.2</v>
      </c>
    </row>
    <row r="63" spans="1:8" ht="16.5" thickTop="1" thickBot="1" x14ac:dyDescent="0.25">
      <c r="A63" s="2">
        <f>+A62+1</f>
        <v>40</v>
      </c>
      <c r="B63" s="110" t="s">
        <v>61</v>
      </c>
      <c r="C63" s="110"/>
      <c r="D63" s="111"/>
      <c r="E63" s="112"/>
      <c r="F63" s="112"/>
      <c r="G63" s="112"/>
      <c r="H63" s="113">
        <f>VLOOKUP(H5,'Raw Data'!A:BX,75,FALSE)</f>
        <v>2.496857E-4</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28" zoomScale="70" zoomScaleNormal="70" workbookViewId="0">
      <selection activeCell="H63" sqref="H63"/>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269</v>
      </c>
    </row>
    <row r="6" spans="1:8" ht="15.75" thickTop="1" x14ac:dyDescent="0.2">
      <c r="A6" s="2">
        <v>1</v>
      </c>
      <c r="B6" s="11" t="s">
        <v>3</v>
      </c>
      <c r="C6" s="150">
        <f>VLOOKUP(H5,'Raw Data'!A:BX,2,FALSE)</f>
        <v>0</v>
      </c>
      <c r="D6" s="12"/>
      <c r="E6" s="13"/>
      <c r="F6" s="2"/>
      <c r="G6" s="14"/>
      <c r="H6" s="14"/>
    </row>
    <row r="7" spans="1:8" ht="15" x14ac:dyDescent="0.2">
      <c r="A7" s="2">
        <v>2</v>
      </c>
      <c r="B7" s="11" t="s">
        <v>4</v>
      </c>
      <c r="C7" s="144" t="str">
        <f>VLOOKUP(H5,'Raw Data'!A:BX,4,FALSE)</f>
        <v>502 - CROOK COUNTY JAIL BOND</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526600</v>
      </c>
      <c r="H20" s="119">
        <f>+G20</f>
        <v>526600</v>
      </c>
    </row>
    <row r="21" spans="1:8" ht="17.25" thickTop="1" thickBot="1" x14ac:dyDescent="0.3">
      <c r="A21" s="2">
        <f>+A20+1</f>
        <v>10</v>
      </c>
      <c r="B21" s="47" t="s">
        <v>22</v>
      </c>
      <c r="C21" s="47"/>
      <c r="D21" s="120">
        <f>SUM(D16)</f>
        <v>0</v>
      </c>
      <c r="E21" s="121">
        <f>SUM(E17)</f>
        <v>0</v>
      </c>
      <c r="F21" s="68">
        <f>SUM(F18:F19)</f>
        <v>0</v>
      </c>
      <c r="G21" s="68">
        <f>SUM(G20)</f>
        <v>526600</v>
      </c>
      <c r="H21" s="68">
        <f>SUM(D21:G21)</f>
        <v>526600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526600</v>
      </c>
      <c r="H25" s="128">
        <f>+H21-H24</f>
        <v>526600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2334962000</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2334962000</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0</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2.2550000000000001E-4</v>
      </c>
      <c r="H35" s="143">
        <f>SUM(D35:G35)</f>
        <v>2.2550000000000001E-4</v>
      </c>
    </row>
    <row r="36" spans="1:8" ht="15" x14ac:dyDescent="0.2">
      <c r="A36" s="2">
        <f t="shared" ref="A36:A41" si="0">+A35+1</f>
        <v>19</v>
      </c>
      <c r="B36" s="21" t="s">
        <v>34</v>
      </c>
      <c r="C36" s="21"/>
      <c r="D36" s="76">
        <f>$H$32*D35</f>
        <v>0</v>
      </c>
      <c r="E36" s="74">
        <f>+$H$32*E35</f>
        <v>0</v>
      </c>
      <c r="F36" s="74">
        <f>+$H$32*F35</f>
        <v>0</v>
      </c>
      <c r="G36" s="74">
        <f>+$H$32*G35</f>
        <v>526533.93099999998</v>
      </c>
      <c r="H36" s="75">
        <f>SUM(D36:G36)</f>
        <v>526533.93099999998</v>
      </c>
    </row>
    <row r="37" spans="1:8" ht="15" x14ac:dyDescent="0.2">
      <c r="A37" s="2">
        <f t="shared" si="0"/>
        <v>20</v>
      </c>
      <c r="B37" s="21" t="s">
        <v>35</v>
      </c>
      <c r="C37" s="21"/>
      <c r="D37" s="133">
        <f>IF(D25&lt;&gt;0,+D36-D25,0)</f>
        <v>0</v>
      </c>
      <c r="E37" s="134">
        <f>IF(E25&lt;&gt;0,+E36-E25,0)</f>
        <v>0</v>
      </c>
      <c r="F37" s="132">
        <f>IF(F25&lt;&gt;0,+F36-F25,0)</f>
        <v>0</v>
      </c>
      <c r="G37" s="132">
        <f>IF(G25&lt;&gt;0,+G36-G25,0)</f>
        <v>-66.069000000017695</v>
      </c>
      <c r="H37" s="75">
        <f>SUM(D37:G37)</f>
        <v>-66.069000000017695</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0</v>
      </c>
      <c r="E40" s="82">
        <f>E35</f>
        <v>0</v>
      </c>
      <c r="F40" s="82">
        <f>F35</f>
        <v>0</v>
      </c>
      <c r="G40" s="82">
        <f>G35</f>
        <v>2.2550000000000001E-4</v>
      </c>
      <c r="H40" s="73">
        <f t="shared" ref="H40:H46" si="1">SUM(D40:G40)</f>
        <v>2.2550000000000001E-4</v>
      </c>
    </row>
    <row r="41" spans="1:8" ht="15" x14ac:dyDescent="0.2">
      <c r="A41" s="2">
        <f t="shared" si="0"/>
        <v>24</v>
      </c>
      <c r="B41" s="21" t="s">
        <v>39</v>
      </c>
      <c r="C41" s="21"/>
      <c r="D41" s="76">
        <f>ROUND(+D40*$H$32,2)</f>
        <v>0</v>
      </c>
      <c r="E41" s="74">
        <f>ROUND(+E40*$H$32,2)</f>
        <v>0</v>
      </c>
      <c r="F41" s="74">
        <f>ROUND(+F40*$H$32,2)</f>
        <v>0</v>
      </c>
      <c r="G41" s="74">
        <f>ROUND(+G40*$H$32,2)</f>
        <v>526533.93000000005</v>
      </c>
      <c r="H41" s="75">
        <f t="shared" si="1"/>
        <v>526533.93000000005</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0</v>
      </c>
      <c r="E44" s="74">
        <f>SUM(E41:E43)</f>
        <v>0</v>
      </c>
      <c r="F44" s="74">
        <f>SUM(F41:F43)</f>
        <v>0</v>
      </c>
      <c r="G44" s="136">
        <f>SUM(G41:G43)</f>
        <v>526533.93000000005</v>
      </c>
      <c r="H44" s="75">
        <f t="shared" si="1"/>
        <v>526533.93000000005</v>
      </c>
    </row>
    <row r="45" spans="1:8" ht="15" x14ac:dyDescent="0.2">
      <c r="A45" s="2">
        <v>25</v>
      </c>
      <c r="B45" s="21" t="s">
        <v>46</v>
      </c>
      <c r="C45" s="21"/>
      <c r="D45" s="135">
        <f>VLOOKUP(H5,'Raw Data'!A:BX,58,FALSE)</f>
        <v>0</v>
      </c>
      <c r="E45" s="74">
        <f>IF(VLOOKUP(H5,'Raw Data'!A:BX,59,FALSE) = "", 0, VLOOKUP(H5,'Raw Data'!A:BX,59,FALSE))</f>
        <v>0</v>
      </c>
      <c r="F45" s="74">
        <f>IF(VLOOKUP(H5,'Raw Data'!A:BX,60,FALSE) = "", 0, VLOOKUP(H5,'Raw Data'!A:BX,60,FALSE))</f>
        <v>0</v>
      </c>
      <c r="G45" s="136">
        <f>IF(VLOOKUP(H5,'Raw Data'!A:BX,61,FALSE) = "", 0, VLOOKUP(H5,'Raw Data'!A:BX,61,FALSE))</f>
        <v>526533.93000000005</v>
      </c>
      <c r="H45" s="75">
        <f t="shared" si="1"/>
        <v>526533.93000000005</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0</v>
      </c>
      <c r="E47" s="86">
        <f>VLOOKUP(H5,'Raw Data'!A:BX,63,FALSE)</f>
        <v>0</v>
      </c>
      <c r="F47" s="86">
        <f>VLOOKUP(H5,'Raw Data'!A:BX,64,FALSE)</f>
        <v>0</v>
      </c>
      <c r="G47" s="77"/>
      <c r="H47" s="87">
        <f>SUM(D47:F47)</f>
        <v>0</v>
      </c>
    </row>
    <row r="48" spans="1:8" ht="16.5" thickBot="1" x14ac:dyDescent="0.3">
      <c r="A48" s="2">
        <f>+A47+1</f>
        <v>28</v>
      </c>
      <c r="B48" s="47" t="s">
        <v>49</v>
      </c>
      <c r="C48" s="47"/>
      <c r="D48" s="138">
        <f>SUM(D44,D46:D47)</f>
        <v>0</v>
      </c>
      <c r="E48" s="140">
        <f>SUM(E44,E46:E47)</f>
        <v>0</v>
      </c>
      <c r="F48" s="140">
        <f>SUM(F44,F46:F47)</f>
        <v>0</v>
      </c>
      <c r="G48" s="139">
        <f>SUM(G44,G46:G47)</f>
        <v>526533.93000000005</v>
      </c>
      <c r="H48" s="266">
        <f>SUM(D48:G48)</f>
        <v>526533.93000000005</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914.62</v>
      </c>
      <c r="H51" s="92">
        <f>G51</f>
        <v>914.62</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603.58000000000004</v>
      </c>
      <c r="H59" s="104">
        <f t="shared" si="3"/>
        <v>603.58000000000004</v>
      </c>
    </row>
    <row r="60" spans="1:8" ht="17.25" thickTop="1" thickBot="1" x14ac:dyDescent="0.3">
      <c r="A60" s="2">
        <f t="shared" si="2"/>
        <v>38</v>
      </c>
      <c r="B60" s="47" t="s">
        <v>59</v>
      </c>
      <c r="C60" s="47"/>
      <c r="D60" s="105"/>
      <c r="E60" s="106"/>
      <c r="F60" s="107"/>
      <c r="G60" s="109">
        <f>SUM(G51:G59)</f>
        <v>1518.2</v>
      </c>
      <c r="H60" s="142">
        <f>SUM(H51:H59)</f>
        <v>1518.2</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0</v>
      </c>
      <c r="E62" s="141">
        <f>E48</f>
        <v>0</v>
      </c>
      <c r="F62" s="141">
        <f>F48</f>
        <v>0</v>
      </c>
      <c r="G62" s="141">
        <f>G48+G60</f>
        <v>528052.13</v>
      </c>
      <c r="H62" s="142">
        <f>H48+H60</f>
        <v>528052.13</v>
      </c>
    </row>
    <row r="63" spans="1:8" ht="16.5" thickTop="1" thickBot="1" x14ac:dyDescent="0.25">
      <c r="A63" s="2">
        <f>+A62+1</f>
        <v>40</v>
      </c>
      <c r="B63" s="110" t="s">
        <v>61</v>
      </c>
      <c r="C63" s="110"/>
      <c r="D63" s="111"/>
      <c r="E63" s="112"/>
      <c r="F63" s="112"/>
      <c r="G63" s="112"/>
      <c r="H63" s="113">
        <f>VLOOKUP(H5,'Raw Data'!A:BX,75,FALSE)</f>
        <v>1.6177155499999998E-2</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ageMargins left="0.7" right="0.7" top="0.75" bottom="0.75" header="0.3" footer="0.3"/>
  <pageSetup scale="45"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8"/>
  <sheetViews>
    <sheetView topLeftCell="A25" zoomScale="70" zoomScaleNormal="70" workbookViewId="0">
      <selection activeCell="A51" sqref="A51:XFD51"/>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 min="17" max="17" width="17.7109375" customWidth="1"/>
  </cols>
  <sheetData>
    <row r="1" spans="1:17" ht="20.25" x14ac:dyDescent="0.3">
      <c r="A1" s="1" t="s">
        <v>145</v>
      </c>
      <c r="B1" s="2"/>
      <c r="C1" s="1"/>
      <c r="E1" s="3"/>
      <c r="F1" s="2"/>
      <c r="G1" s="2"/>
      <c r="H1" s="2"/>
    </row>
    <row r="2" spans="1:17" ht="20.25" x14ac:dyDescent="0.3">
      <c r="A2" s="4" t="s">
        <v>143</v>
      </c>
      <c r="B2" s="1"/>
      <c r="C2" s="1"/>
      <c r="D2" s="2"/>
      <c r="E2" s="5"/>
      <c r="F2" s="2"/>
      <c r="G2" s="2"/>
      <c r="H2" s="2"/>
    </row>
    <row r="3" spans="1:17" ht="15" x14ac:dyDescent="0.2">
      <c r="A3" s="6" t="s">
        <v>144</v>
      </c>
      <c r="B3" s="7"/>
      <c r="C3" s="8"/>
      <c r="D3" s="2"/>
      <c r="E3" s="5"/>
      <c r="F3" s="2"/>
      <c r="G3" s="2"/>
      <c r="H3" s="2"/>
    </row>
    <row r="4" spans="1:17" ht="21" thickBot="1" x14ac:dyDescent="0.35">
      <c r="A4" s="9"/>
      <c r="B4" s="10"/>
      <c r="C4" s="10"/>
      <c r="D4" s="2"/>
      <c r="E4" s="5"/>
      <c r="F4" s="2"/>
      <c r="G4" s="2"/>
      <c r="H4" s="2"/>
    </row>
    <row r="5" spans="1:17" ht="15.75" thickBot="1" x14ac:dyDescent="0.25">
      <c r="A5" s="2"/>
      <c r="B5" s="2"/>
      <c r="C5" s="2"/>
      <c r="D5" s="2"/>
      <c r="E5" s="5"/>
      <c r="F5" s="2"/>
      <c r="G5" s="33"/>
      <c r="H5" s="115"/>
    </row>
    <row r="6" spans="1:17" ht="15.75" thickTop="1" x14ac:dyDescent="0.2">
      <c r="A6" s="2"/>
      <c r="B6" s="11"/>
      <c r="C6" s="116"/>
      <c r="D6" s="12"/>
      <c r="E6" s="13"/>
      <c r="F6" s="2"/>
      <c r="G6" s="14"/>
      <c r="H6" s="14"/>
    </row>
    <row r="7" spans="1:17" ht="15" x14ac:dyDescent="0.2">
      <c r="A7" s="2"/>
      <c r="B7" s="11"/>
      <c r="C7" s="144"/>
      <c r="D7" s="15"/>
      <c r="E7" s="16"/>
      <c r="F7" s="2"/>
      <c r="G7" s="14"/>
      <c r="H7" s="14"/>
    </row>
    <row r="8" spans="1:17" ht="15.75" thickBot="1" x14ac:dyDescent="0.25">
      <c r="A8" s="2"/>
      <c r="B8" s="11"/>
      <c r="C8" s="117"/>
      <c r="D8" s="17"/>
      <c r="E8" s="18"/>
      <c r="F8" s="14"/>
      <c r="G8" s="14"/>
      <c r="H8" s="14"/>
    </row>
    <row r="9" spans="1:17" ht="15.75" thickTop="1" x14ac:dyDescent="0.2">
      <c r="A9" s="2"/>
      <c r="B9" s="11" t="s">
        <v>6</v>
      </c>
      <c r="C9" s="11"/>
      <c r="D9" s="19"/>
      <c r="E9" s="20"/>
      <c r="F9" s="14"/>
      <c r="G9" s="14"/>
      <c r="H9" s="14"/>
    </row>
    <row r="10" spans="1:17" ht="15" x14ac:dyDescent="0.2">
      <c r="A10" s="2"/>
      <c r="B10" s="2"/>
      <c r="C10" s="2"/>
      <c r="D10" s="2"/>
      <c r="E10" s="5"/>
      <c r="F10" s="2"/>
      <c r="G10" s="2"/>
      <c r="H10" s="2"/>
    </row>
    <row r="11" spans="1:17" ht="15" x14ac:dyDescent="0.2">
      <c r="A11" s="2"/>
      <c r="B11" s="11"/>
      <c r="C11" s="11"/>
      <c r="D11" s="14"/>
      <c r="E11" s="20"/>
      <c r="F11" s="19" t="s">
        <v>7</v>
      </c>
      <c r="G11" s="14"/>
      <c r="H11" s="14"/>
    </row>
    <row r="12" spans="1:17" ht="15" x14ac:dyDescent="0.2">
      <c r="A12" s="2"/>
      <c r="B12" s="21"/>
      <c r="C12" s="21"/>
      <c r="D12" s="22" t="s">
        <v>8</v>
      </c>
      <c r="E12" s="23" t="s">
        <v>9</v>
      </c>
      <c r="F12" s="19" t="s">
        <v>10</v>
      </c>
      <c r="G12" s="19" t="s">
        <v>11</v>
      </c>
      <c r="H12" s="14"/>
    </row>
    <row r="13" spans="1:17" ht="15" x14ac:dyDescent="0.2">
      <c r="A13" s="2">
        <v>4</v>
      </c>
      <c r="B13" s="11" t="s">
        <v>12</v>
      </c>
      <c r="C13" s="11"/>
      <c r="D13" s="24"/>
      <c r="E13" s="25"/>
      <c r="F13" s="26"/>
      <c r="G13" s="27"/>
      <c r="H13" s="24"/>
    </row>
    <row r="14" spans="1:17" ht="15.75" x14ac:dyDescent="0.25">
      <c r="A14" s="2"/>
      <c r="B14" s="21"/>
      <c r="C14" s="21"/>
      <c r="D14" s="28" t="s">
        <v>13</v>
      </c>
      <c r="E14" s="29" t="s">
        <v>13</v>
      </c>
      <c r="F14" s="30" t="s">
        <v>13</v>
      </c>
      <c r="G14" s="30" t="s">
        <v>14</v>
      </c>
      <c r="H14" s="30" t="s">
        <v>15</v>
      </c>
    </row>
    <row r="15" spans="1:17" ht="16.5" thickBot="1" x14ac:dyDescent="0.3">
      <c r="A15" s="2"/>
      <c r="B15" s="29" t="s">
        <v>16</v>
      </c>
      <c r="C15" s="29"/>
      <c r="D15" s="31"/>
      <c r="E15" s="32"/>
      <c r="F15" s="31"/>
      <c r="G15" s="31"/>
      <c r="H15" s="31"/>
    </row>
    <row r="16" spans="1:17" ht="16.5" thickTop="1" x14ac:dyDescent="0.25">
      <c r="A16" s="33">
        <f>1+A13</f>
        <v>5</v>
      </c>
      <c r="B16" s="11" t="s">
        <v>17</v>
      </c>
      <c r="C16" s="29"/>
      <c r="D16" s="167">
        <f>'101 - Crook County'!D16+'681SCH2013 - CC School Bond'!D16+'602 - Alfalfa Fire Dist'!D16+'610 - AG Extension Service'!D16+'616 - CC Historical Fund'!D16+'622 - High Desert ESD'!D16+'630 - Deschutes County #1 RFPD1'!D16+'631 - CCFR Taxing Zone 1'!D16+'635 - Hahlen Road District'!D16++'664 - CC PARKS &amp; REC DIST'!D16+'665 - Crook City Cemetary'!D16+'666 - Vector Control'!D16+'668 - JUN CAN Water Dist'!D16+'679 - PLA Unit I Road Dist'!D16+'680 - Crook Cty School Dist'!D16+'690 - COCC'!D16+'691 - COCC Bond'!D16+'692 - City of Prineville'!D16+'Ochoco West Water &amp; Sanitary'!D16+'502 - Crook County Jail Bond'!D16</f>
        <v>153638</v>
      </c>
      <c r="E16" s="168"/>
      <c r="F16" s="169"/>
      <c r="G16" s="170"/>
      <c r="H16" s="167">
        <f>'101 - Crook County'!H16+'681SCH2013 - CC School Bond'!H16+'602 - Alfalfa Fire Dist'!H16+'610 - AG Extension Service'!H16+'616 - CC Historical Fund'!H16+'622 - High Desert ESD'!H16+'630 - Deschutes County #1 RFPD1'!H16+'631 - CCFR Taxing Zone 1'!H16+'635 - Hahlen Road District'!H16++'664 - CC PARKS &amp; REC DIST'!H16+'665 - Crook City Cemetary'!H16+'666 - Vector Control'!H16+'668 - JUN CAN Water Dist'!H16+'679 - PLA Unit I Road Dist'!H16+'680 - Crook Cty School Dist'!H16+'690 - COCC'!H16+'691 - COCC Bond'!H16+'692 - City of Prineville'!H16+'Ochoco West Water &amp; Sanitary'!H16+'502 - Crook County Jail Bond'!H16</f>
        <v>153638</v>
      </c>
      <c r="Q16" s="146"/>
    </row>
    <row r="17" spans="1:17" ht="15" x14ac:dyDescent="0.2">
      <c r="A17" s="2">
        <f>+A16+1</f>
        <v>6</v>
      </c>
      <c r="B17" s="21" t="s">
        <v>18</v>
      </c>
      <c r="C17" s="21"/>
      <c r="D17" s="171"/>
      <c r="E17" s="167">
        <f>'101 - Crook County'!E17+'681SCH2013 - CC School Bond'!E17+'602 - Alfalfa Fire Dist'!E17+'610 - AG Extension Service'!E17+'616 - CC Historical Fund'!E17+'622 - High Desert ESD'!E17+'630 - Deschutes County #1 RFPD1'!E17+'631 - CCFR Taxing Zone 1'!E17+'635 - Hahlen Road District'!E17++'664 - CC PARKS &amp; REC DIST'!E17+'665 - Crook City Cemetary'!E17+'666 - Vector Control'!E17+'668 - JUN CAN Water Dist'!E17+'679 - PLA Unit I Road Dist'!E17+'680 - Crook Cty School Dist'!E17+'690 - COCC'!E17+'691 - COCC Bond'!E17+'692 - City of Prineville'!E17+'Ochoco West Water &amp; Sanitary'!E17+'502 - Crook County Jail Bond'!E17</f>
        <v>0</v>
      </c>
      <c r="F17" s="172"/>
      <c r="G17" s="173"/>
      <c r="H17" s="167">
        <f>'101 - Crook County'!H17+'681SCH2013 - CC School Bond'!H17+'602 - Alfalfa Fire Dist'!H17+'610 - AG Extension Service'!H17+'616 - CC Historical Fund'!H17+'622 - High Desert ESD'!H17+'630 - Deschutes County #1 RFPD1'!H17+'631 - CCFR Taxing Zone 1'!H17+'635 - Hahlen Road District'!H17++'664 - CC PARKS &amp; REC DIST'!H17+'665 - Crook City Cemetary'!H17+'666 - Vector Control'!H17+'668 - JUN CAN Water Dist'!H17+'679 - PLA Unit I Road Dist'!H17+'680 - Crook Cty School Dist'!H17+'690 - COCC'!H17+'691 - COCC Bond'!H17+'692 - City of Prineville'!H17+'Ochoco West Water &amp; Sanitary'!H17+'502 - Crook County Jail Bond'!H17</f>
        <v>0</v>
      </c>
      <c r="Q17" s="146"/>
    </row>
    <row r="18" spans="1:17" ht="15" x14ac:dyDescent="0.2">
      <c r="A18" s="2">
        <f>+A17+1</f>
        <v>7</v>
      </c>
      <c r="B18" s="21" t="s">
        <v>19</v>
      </c>
      <c r="C18" s="21"/>
      <c r="D18" s="174"/>
      <c r="E18" s="175"/>
      <c r="F18" s="167">
        <f>'101 - Crook County'!F18+'681SCH2013 - CC School Bond'!F18+'602 - Alfalfa Fire Dist'!F18+'610 - AG Extension Service'!F18+'616 - CC Historical Fund'!F18+'622 - High Desert ESD'!F18+'630 - Deschutes County #1 RFPD1'!F18+'631 - CCFR Taxing Zone 1'!F18+'635 - Hahlen Road District'!F18++'664 - CC PARKS &amp; REC DIST'!F18+'665 - Crook City Cemetary'!F18+'666 - Vector Control'!F18+'668 - JUN CAN Water Dist'!F18+'679 - PLA Unit I Road Dist'!F18+'680 - Crook Cty School Dist'!F18+'690 - COCC'!F18+'691 - COCC Bond'!F18+'692 - City of Prineville'!F18+'Ochoco West Water &amp; Sanitary'!F18+'502 - Crook County Jail Bond'!F18</f>
        <v>0</v>
      </c>
      <c r="G18" s="176"/>
      <c r="H18" s="167">
        <f>'101 - Crook County'!H18+'681SCH2013 - CC School Bond'!H18+'602 - Alfalfa Fire Dist'!H18+'610 - AG Extension Service'!H18+'616 - CC Historical Fund'!H18+'622 - High Desert ESD'!H18+'630 - Deschutes County #1 RFPD1'!H18+'631 - CCFR Taxing Zone 1'!H18+'635 - Hahlen Road District'!H18++'664 - CC PARKS &amp; REC DIST'!H18+'665 - Crook City Cemetary'!H18+'666 - Vector Control'!H18+'668 - JUN CAN Water Dist'!H18+'679 - PLA Unit I Road Dist'!H18+'680 - Crook Cty School Dist'!H18+'690 - COCC'!H18+'691 - COCC Bond'!H18+'692 - City of Prineville'!H18+'Ochoco West Water &amp; Sanitary'!H18+'502 - Crook County Jail Bond'!H18</f>
        <v>0</v>
      </c>
      <c r="Q18" s="146"/>
    </row>
    <row r="19" spans="1:17" ht="15" x14ac:dyDescent="0.2">
      <c r="A19" s="2">
        <f>+A18+1</f>
        <v>8</v>
      </c>
      <c r="B19" s="21" t="s">
        <v>20</v>
      </c>
      <c r="C19" s="21"/>
      <c r="D19" s="174"/>
      <c r="E19" s="177"/>
      <c r="F19" s="167">
        <f>'101 - Crook County'!F19+'681SCH2013 - CC School Bond'!F19+'602 - Alfalfa Fire Dist'!F19+'610 - AG Extension Service'!F19+'616 - CC Historical Fund'!F19+'622 - High Desert ESD'!F19+'630 - Deschutes County #1 RFPD1'!F19+'631 - CCFR Taxing Zone 1'!F19+'635 - Hahlen Road District'!F19++'664 - CC PARKS &amp; REC DIST'!F19+'665 - Crook City Cemetary'!F19+'666 - Vector Control'!F19+'668 - JUN CAN Water Dist'!F19+'679 - PLA Unit I Road Dist'!F19+'680 - Crook Cty School Dist'!F19+'690 - COCC'!F19+'691 - COCC Bond'!F19+'692 - City of Prineville'!F19+'Ochoco West Water &amp; Sanitary'!F19+'502 - Crook County Jail Bond'!F19</f>
        <v>0</v>
      </c>
      <c r="G19" s="178"/>
      <c r="H19" s="167">
        <f>'101 - Crook County'!H19+'681SCH2013 - CC School Bond'!H19+'602 - Alfalfa Fire Dist'!H19+'610 - AG Extension Service'!H19+'616 - CC Historical Fund'!H19+'622 - High Desert ESD'!H19+'630 - Deschutes County #1 RFPD1'!H19+'631 - CCFR Taxing Zone 1'!H19+'635 - Hahlen Road District'!H19++'664 - CC PARKS &amp; REC DIST'!H19+'665 - Crook City Cemetary'!H19+'666 - Vector Control'!H19+'668 - JUN CAN Water Dist'!H19+'679 - PLA Unit I Road Dist'!H19+'680 - Crook Cty School Dist'!H19+'690 - COCC'!H19+'691 - COCC Bond'!H19+'692 - City of Prineville'!H19+'Ochoco West Water &amp; Sanitary'!H19+'502 - Crook County Jail Bond'!H19</f>
        <v>0</v>
      </c>
      <c r="Q19" s="146"/>
    </row>
    <row r="20" spans="1:17" ht="15.75" thickBot="1" x14ac:dyDescent="0.25">
      <c r="A20" s="2">
        <f>+A19+1</f>
        <v>9</v>
      </c>
      <c r="B20" s="21" t="s">
        <v>21</v>
      </c>
      <c r="C20" s="21"/>
      <c r="D20" s="174"/>
      <c r="E20" s="179"/>
      <c r="F20" s="180"/>
      <c r="G20" s="167">
        <f>'101 - Crook County'!G20+'681SCH2013 - CC School Bond'!G20+'602 - Alfalfa Fire Dist'!G20+'610 - AG Extension Service'!G20+'616 - CC Historical Fund'!G20+'622 - High Desert ESD'!G20+'630 - Deschutes County #1 RFPD1'!G20+'631 - CCFR Taxing Zone 1'!G20+'635 - Hahlen Road District'!G20++'664 - CC PARKS &amp; REC DIST'!G20+'665 - Crook City Cemetary'!G20+'666 - Vector Control'!G20+'668 - JUN CAN Water Dist'!G20+'679 - PLA Unit I Road Dist'!G20+'680 - Crook Cty School Dist'!G20+'690 - COCC'!G20+'691 - COCC Bond'!G20+'692 - City of Prineville'!G20+'Ochoco West Water &amp; Sanitary'!G20+'502 - Crook County Jail Bond'!G20</f>
        <v>2751818.79</v>
      </c>
      <c r="H20" s="167">
        <f>'101 - Crook County'!H20+'681SCH2013 - CC School Bond'!H20+'602 - Alfalfa Fire Dist'!H20+'610 - AG Extension Service'!H20+'616 - CC Historical Fund'!H20+'622 - High Desert ESD'!H20+'630 - Deschutes County #1 RFPD1'!H20+'631 - CCFR Taxing Zone 1'!H20+'635 - Hahlen Road District'!H20++'664 - CC PARKS &amp; REC DIST'!H20+'665 - Crook City Cemetary'!H20+'666 - Vector Control'!H20+'668 - JUN CAN Water Dist'!H20+'679 - PLA Unit I Road Dist'!H20+'680 - Crook Cty School Dist'!H20+'690 - COCC'!H20+'691 - COCC Bond'!H20+'692 - City of Prineville'!H20+'Ochoco West Water &amp; Sanitary'!H20+'502 - Crook County Jail Bond'!H20</f>
        <v>2751818.79</v>
      </c>
      <c r="Q20" s="146"/>
    </row>
    <row r="21" spans="1:17" ht="16.5" thickTop="1" x14ac:dyDescent="0.25">
      <c r="A21" s="2">
        <f>+A20+1</f>
        <v>10</v>
      </c>
      <c r="B21" s="47" t="s">
        <v>22</v>
      </c>
      <c r="C21" s="47"/>
      <c r="D21" s="167">
        <f>'101 - Crook County'!D21+'681SCH2013 - CC School Bond'!D21+'602 - Alfalfa Fire Dist'!D21+'610 - AG Extension Service'!D21+'616 - CC Historical Fund'!D21+'622 - High Desert ESD'!D21+'630 - Deschutes County #1 RFPD1'!D21+'631 - CCFR Taxing Zone 1'!D21+'635 - Hahlen Road District'!D21++'664 - CC PARKS &amp; REC DIST'!D21+'665 - Crook City Cemetary'!D21+'666 - Vector Control'!D21+'668 - JUN CAN Water Dist'!D21+'679 - PLA Unit I Road Dist'!D21+'680 - Crook Cty School Dist'!D21+'690 - COCC'!D21+'691 - COCC Bond'!D21+'692 - City of Prineville'!D21+'Ochoco West Water &amp; Sanitary'!D21+'502 - Crook County Jail Bond'!D21</f>
        <v>153638</v>
      </c>
      <c r="E21" s="167">
        <f>'101 - Crook County'!E21+'681SCH2013 - CC School Bond'!E21+'602 - Alfalfa Fire Dist'!E21+'610 - AG Extension Service'!E21+'616 - CC Historical Fund'!E21+'622 - High Desert ESD'!E21+'630 - Deschutes County #1 RFPD1'!E21+'631 - CCFR Taxing Zone 1'!E21+'635 - Hahlen Road District'!E21++'664 - CC PARKS &amp; REC DIST'!E21+'665 - Crook City Cemetary'!E21+'666 - Vector Control'!E21+'668 - JUN CAN Water Dist'!E21+'679 - PLA Unit I Road Dist'!E21+'680 - Crook Cty School Dist'!E21+'690 - COCC'!E21+'691 - COCC Bond'!E21+'692 - City of Prineville'!E21+'Ochoco West Water &amp; Sanitary'!E21+'502 - Crook County Jail Bond'!E21</f>
        <v>0</v>
      </c>
      <c r="F21" s="167">
        <f>'101 - Crook County'!F21+'681SCH2013 - CC School Bond'!F21+'602 - Alfalfa Fire Dist'!F21+'610 - AG Extension Service'!F21+'616 - CC Historical Fund'!F21+'622 - High Desert ESD'!F21+'630 - Deschutes County #1 RFPD1'!F21+'631 - CCFR Taxing Zone 1'!F21+'635 - Hahlen Road District'!F21++'664 - CC PARKS &amp; REC DIST'!F21+'665 - Crook City Cemetary'!F21+'666 - Vector Control'!F21+'668 - JUN CAN Water Dist'!F21+'679 - PLA Unit I Road Dist'!F21+'680 - Crook Cty School Dist'!F21+'690 - COCC'!F21+'691 - COCC Bond'!F21+'692 - City of Prineville'!F21+'Ochoco West Water &amp; Sanitary'!F21+'502 - Crook County Jail Bond'!F21</f>
        <v>0</v>
      </c>
      <c r="G21" s="167">
        <f>'101 - Crook County'!G21+'681SCH2013 - CC School Bond'!G21+'602 - Alfalfa Fire Dist'!G21+'610 - AG Extension Service'!G21+'616 - CC Historical Fund'!G21+'622 - High Desert ESD'!G21+'630 - Deschutes County #1 RFPD1'!G21+'631 - CCFR Taxing Zone 1'!G21+'635 - Hahlen Road District'!G21++'664 - CC PARKS &amp; REC DIST'!G21+'665 - Crook City Cemetary'!G21+'666 - Vector Control'!G21+'668 - JUN CAN Water Dist'!G21+'679 - PLA Unit I Road Dist'!G21+'680 - Crook Cty School Dist'!G21+'690 - COCC'!G21+'691 - COCC Bond'!G21+'692 - City of Prineville'!G21+'Ochoco West Water &amp; Sanitary'!G21+'502 - Crook County Jail Bond'!G21</f>
        <v>2751818.79</v>
      </c>
      <c r="H21" s="167">
        <f>'101 - Crook County'!H21+'681SCH2013 - CC School Bond'!H21+'602 - Alfalfa Fire Dist'!H21+'610 - AG Extension Service'!H21+'616 - CC Historical Fund'!H21+'622 - High Desert ESD'!H21+'630 - Deschutes County #1 RFPD1'!H21+'631 - CCFR Taxing Zone 1'!H21+'635 - Hahlen Road District'!H21++'664 - CC PARKS &amp; REC DIST'!H21+'665 - Crook City Cemetary'!H21+'666 - Vector Control'!H21+'668 - JUN CAN Water Dist'!H21+'679 - PLA Unit I Road Dist'!H21+'680 - Crook Cty School Dist'!H21+'690 - COCC'!H21+'691 - COCC Bond'!H21+'692 - City of Prineville'!H21+'Ochoco West Water &amp; Sanitary'!H21+'502 - Crook County Jail Bond'!H21</f>
        <v>2905456.79</v>
      </c>
      <c r="I21" s="145" t="s">
        <v>150</v>
      </c>
      <c r="Q21" s="146"/>
    </row>
    <row r="22" spans="1:17" ht="15" x14ac:dyDescent="0.2">
      <c r="A22" s="2"/>
      <c r="B22" s="21"/>
      <c r="C22" s="21"/>
      <c r="D22" s="181"/>
      <c r="E22" s="182"/>
      <c r="F22" s="181"/>
      <c r="G22" s="181"/>
      <c r="H22" s="181"/>
      <c r="I22" s="145"/>
      <c r="Q22" s="146"/>
    </row>
    <row r="23" spans="1:17" ht="15.75" x14ac:dyDescent="0.25">
      <c r="A23" s="2"/>
      <c r="B23" s="29" t="s">
        <v>23</v>
      </c>
      <c r="C23" s="29"/>
      <c r="D23" s="181"/>
      <c r="E23" s="182"/>
      <c r="F23" s="181"/>
      <c r="G23" s="181"/>
      <c r="H23" s="181"/>
      <c r="I23" s="145"/>
      <c r="Q23" s="146"/>
    </row>
    <row r="24" spans="1:17" ht="15" x14ac:dyDescent="0.2">
      <c r="A24" s="2">
        <f>+A21+1</f>
        <v>11</v>
      </c>
      <c r="B24" s="21" t="s">
        <v>24</v>
      </c>
      <c r="C24" s="21"/>
      <c r="D24" s="167">
        <f>'101 - Crook County'!D24+'681SCH2013 - CC School Bond'!D24+'602 - Alfalfa Fire Dist'!D24+'610 - AG Extension Service'!D24+'616 - CC Historical Fund'!D24+'622 - High Desert ESD'!D24+'630 - Deschutes County #1 RFPD1'!D24+'631 - CCFR Taxing Zone 1'!D24+'635 - Hahlen Road District'!D24++'664 - CC PARKS &amp; REC DIST'!D24+'665 - Crook City Cemetary'!D24+'666 - Vector Control'!D24+'668 - JUN CAN Water Dist'!D24+'679 - PLA Unit I Road Dist'!D24+'680 - Crook Cty School Dist'!D24+'690 - COCC'!D24+'691 - COCC Bond'!D24+'692 - City of Prineville'!D24+'Ochoco West Water &amp; Sanitary'!D24+'502 - Crook County Jail Bond'!D24</f>
        <v>0</v>
      </c>
      <c r="E24" s="167">
        <f>'101 - Crook County'!E24+'681SCH2013 - CC School Bond'!E24+'602 - Alfalfa Fire Dist'!E24+'610 - AG Extension Service'!E24+'616 - CC Historical Fund'!E24+'622 - High Desert ESD'!E24+'630 - Deschutes County #1 RFPD1'!E24+'631 - CCFR Taxing Zone 1'!E24+'635 - Hahlen Road District'!E24++'664 - CC PARKS &amp; REC DIST'!E24+'665 - Crook City Cemetary'!E24+'666 - Vector Control'!E24+'668 - JUN CAN Water Dist'!E24+'679 - PLA Unit I Road Dist'!E24+'680 - Crook Cty School Dist'!E24+'690 - COCC'!E24+'691 - COCC Bond'!E24+'692 - City of Prineville'!E24+'Ochoco West Water &amp; Sanitary'!E24+'502 - Crook County Jail Bond'!E24</f>
        <v>0</v>
      </c>
      <c r="F24" s="167">
        <f>'101 - Crook County'!F24+'681SCH2013 - CC School Bond'!F24+'602 - Alfalfa Fire Dist'!F24+'610 - AG Extension Service'!F24+'616 - CC Historical Fund'!F24+'622 - High Desert ESD'!F24+'630 - Deschutes County #1 RFPD1'!F24+'631 - CCFR Taxing Zone 1'!F24+'635 - Hahlen Road District'!F24++'664 - CC PARKS &amp; REC DIST'!F24+'665 - Crook City Cemetary'!F24+'666 - Vector Control'!F24+'668 - JUN CAN Water Dist'!F24+'679 - PLA Unit I Road Dist'!F24+'680 - Crook Cty School Dist'!F24+'690 - COCC'!F24+'691 - COCC Bond'!F24+'692 - City of Prineville'!F24+'Ochoco West Water &amp; Sanitary'!F24+'502 - Crook County Jail Bond'!F24</f>
        <v>0</v>
      </c>
      <c r="G24" s="167">
        <f>'101 - Crook County'!G24+'681SCH2013 - CC School Bond'!G24+'602 - Alfalfa Fire Dist'!G24+'610 - AG Extension Service'!G24+'616 - CC Historical Fund'!G24+'622 - High Desert ESD'!G24+'630 - Deschutes County #1 RFPD1'!G24+'631 - CCFR Taxing Zone 1'!G24+'635 - Hahlen Road District'!G24++'664 - CC PARKS &amp; REC DIST'!G24+'665 - Crook City Cemetary'!G24+'666 - Vector Control'!G24+'668 - JUN CAN Water Dist'!G24+'679 - PLA Unit I Road Dist'!G24+'680 - Crook Cty School Dist'!G24+'690 - COCC'!G24+'691 - COCC Bond'!G24+'692 - City of Prineville'!G24+'Ochoco West Water &amp; Sanitary'!G24+'502 - Crook County Jail Bond'!G24</f>
        <v>0</v>
      </c>
      <c r="H24" s="167">
        <f>'101 - Crook County'!H24+'681SCH2013 - CC School Bond'!H24+'602 - Alfalfa Fire Dist'!H24+'610 - AG Extension Service'!H24+'616 - CC Historical Fund'!H24+'622 - High Desert ESD'!H24+'630 - Deschutes County #1 RFPD1'!H24+'631 - CCFR Taxing Zone 1'!H24+'635 - Hahlen Road District'!H24++'664 - CC PARKS &amp; REC DIST'!H24+'665 - Crook City Cemetary'!H24+'666 - Vector Control'!H24+'668 - JUN CAN Water Dist'!H24+'679 - PLA Unit I Road Dist'!H24+'680 - Crook Cty School Dist'!H24+'690 - COCC'!H24+'691 - COCC Bond'!H24+'692 - City of Prineville'!H24+'Ochoco West Water &amp; Sanitary'!H24+'502 - Crook County Jail Bond'!H24</f>
        <v>0</v>
      </c>
      <c r="I24" s="145" t="s">
        <v>150</v>
      </c>
      <c r="Q24" s="146"/>
    </row>
    <row r="25" spans="1:17" ht="15.75" x14ac:dyDescent="0.25">
      <c r="A25" s="2">
        <f>+A24+1</f>
        <v>12</v>
      </c>
      <c r="B25" s="47" t="s">
        <v>25</v>
      </c>
      <c r="C25" s="47"/>
      <c r="D25" s="167">
        <f>'101 - Crook County'!D25+'681SCH2013 - CC School Bond'!D25+'602 - Alfalfa Fire Dist'!D25+'610 - AG Extension Service'!D25+'616 - CC Historical Fund'!D25+'622 - High Desert ESD'!D25+'630 - Deschutes County #1 RFPD1'!D25+'631 - CCFR Taxing Zone 1'!D25+'635 - Hahlen Road District'!D25++'664 - CC PARKS &amp; REC DIST'!D25+'665 - Crook City Cemetary'!D25+'666 - Vector Control'!D25+'668 - JUN CAN Water Dist'!D25+'679 - PLA Unit I Road Dist'!D25+'680 - Crook Cty School Dist'!D25+'690 - COCC'!D25+'691 - COCC Bond'!D25+'692 - City of Prineville'!D25+'Ochoco West Water &amp; Sanitary'!D25+'502 - Crook County Jail Bond'!D25</f>
        <v>153638</v>
      </c>
      <c r="E25" s="167">
        <f>'101 - Crook County'!E25+'681SCH2013 - CC School Bond'!E25+'602 - Alfalfa Fire Dist'!E25+'610 - AG Extension Service'!E25+'616 - CC Historical Fund'!E25+'622 - High Desert ESD'!E25+'630 - Deschutes County #1 RFPD1'!E25+'631 - CCFR Taxing Zone 1'!E25+'635 - Hahlen Road District'!E25++'664 - CC PARKS &amp; REC DIST'!E25+'665 - Crook City Cemetary'!E25+'666 - Vector Control'!E25+'668 - JUN CAN Water Dist'!E25+'679 - PLA Unit I Road Dist'!E25+'680 - Crook Cty School Dist'!E25+'690 - COCC'!E25+'691 - COCC Bond'!E25+'692 - City of Prineville'!E25+'Ochoco West Water &amp; Sanitary'!E25+'502 - Crook County Jail Bond'!E25</f>
        <v>0</v>
      </c>
      <c r="F25" s="167">
        <f>'101 - Crook County'!F25+'681SCH2013 - CC School Bond'!F25+'602 - Alfalfa Fire Dist'!F25+'610 - AG Extension Service'!F25+'616 - CC Historical Fund'!F25+'622 - High Desert ESD'!F25+'630 - Deschutes County #1 RFPD1'!F25+'631 - CCFR Taxing Zone 1'!F25+'635 - Hahlen Road District'!F25++'664 - CC PARKS &amp; REC DIST'!F25+'665 - Crook City Cemetary'!F25+'666 - Vector Control'!F25+'668 - JUN CAN Water Dist'!F25+'679 - PLA Unit I Road Dist'!F25+'680 - Crook Cty School Dist'!F25+'690 - COCC'!F25+'691 - COCC Bond'!F25+'692 - City of Prineville'!F25+'Ochoco West Water &amp; Sanitary'!F25+'502 - Crook County Jail Bond'!F25</f>
        <v>0</v>
      </c>
      <c r="G25" s="167">
        <f>'101 - Crook County'!G25+'681SCH2013 - CC School Bond'!G25+'602 - Alfalfa Fire Dist'!G25+'610 - AG Extension Service'!G25+'616 - CC Historical Fund'!G25+'622 - High Desert ESD'!G25+'630 - Deschutes County #1 RFPD1'!G25+'631 - CCFR Taxing Zone 1'!G25+'635 - Hahlen Road District'!G25++'664 - CC PARKS &amp; REC DIST'!G25+'665 - Crook City Cemetary'!G25+'666 - Vector Control'!G25+'668 - JUN CAN Water Dist'!G25+'679 - PLA Unit I Road Dist'!G25+'680 - Crook Cty School Dist'!G25+'690 - COCC'!G25+'691 - COCC Bond'!G25+'692 - City of Prineville'!G25+'Ochoco West Water &amp; Sanitary'!G25+'502 - Crook County Jail Bond'!G25</f>
        <v>2751818.79</v>
      </c>
      <c r="H25" s="167">
        <f>'101 - Crook County'!H25+'681SCH2013 - CC School Bond'!H25+'602 - Alfalfa Fire Dist'!H25+'610 - AG Extension Service'!H25+'616 - CC Historical Fund'!H25+'622 - High Desert ESD'!H25+'630 - Deschutes County #1 RFPD1'!H25+'631 - CCFR Taxing Zone 1'!H25+'635 - Hahlen Road District'!H25++'664 - CC PARKS &amp; REC DIST'!H25+'665 - Crook City Cemetary'!H25+'666 - Vector Control'!H25+'668 - JUN CAN Water Dist'!H25+'679 - PLA Unit I Road Dist'!H25+'680 - Crook Cty School Dist'!H25+'690 - COCC'!H25+'691 - COCC Bond'!H25+'692 - City of Prineville'!H25+'Ochoco West Water &amp; Sanitary'!H25+'502 - Crook County Jail Bond'!H25</f>
        <v>2905456.79</v>
      </c>
      <c r="I25" s="145" t="s">
        <v>150</v>
      </c>
      <c r="Q25" s="146"/>
    </row>
    <row r="26" spans="1:17" ht="15" x14ac:dyDescent="0.2">
      <c r="A26" s="2"/>
      <c r="B26" s="21"/>
      <c r="C26" s="21"/>
      <c r="D26" s="181"/>
      <c r="E26" s="182"/>
      <c r="F26" s="181"/>
      <c r="G26" s="181"/>
      <c r="H26" s="181"/>
      <c r="I26" s="145"/>
      <c r="Q26" s="146"/>
    </row>
    <row r="27" spans="1:17" ht="16.5" thickBot="1" x14ac:dyDescent="0.3">
      <c r="A27" s="2"/>
      <c r="B27" s="54" t="s">
        <v>26</v>
      </c>
      <c r="C27" s="28"/>
      <c r="D27" s="181"/>
      <c r="E27" s="182"/>
      <c r="F27" s="181"/>
      <c r="G27" s="181"/>
      <c r="H27" s="181"/>
      <c r="I27" s="145"/>
      <c r="Q27" s="146"/>
    </row>
    <row r="28" spans="1:17" ht="15.75" thickTop="1" x14ac:dyDescent="0.2">
      <c r="A28" s="2">
        <f>+A25+1</f>
        <v>13</v>
      </c>
      <c r="B28" s="21" t="s">
        <v>27</v>
      </c>
      <c r="C28" s="21"/>
      <c r="D28" s="183"/>
      <c r="E28" s="184"/>
      <c r="F28" s="169"/>
      <c r="G28" s="185"/>
      <c r="H28" s="167">
        <f>'101 - Crook County'!H28+'681SCH2013 - CC School Bond'!H28+'602 - Alfalfa Fire Dist'!H28+'610 - AG Extension Service'!H28+'616 - CC Historical Fund'!H28+'622 - High Desert ESD'!H28+'630 - Deschutes County #1 RFPD1'!H28+'631 - CCFR Taxing Zone 1'!H28+'635 - Hahlen Road District'!H28++'664 - CC PARKS &amp; REC DIST'!H28+'665 - Crook City Cemetary'!H28+'666 - Vector Control'!H28+'668 - JUN CAN Water Dist'!H28+'679 - PLA Unit I Road Dist'!H28+'680 - Crook Cty School Dist'!H28+'690 - COCC'!H28+'691 - COCC Bond'!H28+'692 - City of Prineville'!H28+'Ochoco West Water &amp; Sanitary'!H28+'502 - Crook County Jail Bond'!H28</f>
        <v>28733973328</v>
      </c>
      <c r="I28" s="145" t="s">
        <v>150</v>
      </c>
      <c r="Q28" s="146"/>
    </row>
    <row r="29" spans="1:17" ht="15" x14ac:dyDescent="0.2">
      <c r="A29" s="2">
        <f>+A28+1</f>
        <v>14</v>
      </c>
      <c r="B29" s="2" t="s">
        <v>28</v>
      </c>
      <c r="C29" s="2"/>
      <c r="D29" s="174"/>
      <c r="E29" s="186"/>
      <c r="F29" s="187"/>
      <c r="G29" s="188"/>
      <c r="H29" s="167">
        <f>'101 - Crook County'!H29+'681SCH2013 - CC School Bond'!H29+'602 - Alfalfa Fire Dist'!H29+'610 - AG Extension Service'!H29+'616 - CC Historical Fund'!H29+'622 - High Desert ESD'!H29+'630 - Deschutes County #1 RFPD1'!H29+'631 - CCFR Taxing Zone 1'!H29+'635 - Hahlen Road District'!H29++'664 - CC PARKS &amp; REC DIST'!H29+'665 - Crook City Cemetary'!H29+'666 - Vector Control'!H29+'668 - JUN CAN Water Dist'!H29+'679 - PLA Unit I Road Dist'!H29+'680 - Crook Cty School Dist'!H29+'690 - COCC'!H29+'691 - COCC Bond'!H29+'692 - City of Prineville'!H29+'Ochoco West Water &amp; Sanitary'!H29+'502 - Crook County Jail Bond'!H29</f>
        <v>0</v>
      </c>
      <c r="I29" s="145" t="s">
        <v>150</v>
      </c>
      <c r="Q29" s="146"/>
    </row>
    <row r="30" spans="1:17" ht="15" x14ac:dyDescent="0.2">
      <c r="A30" s="2">
        <f>+A29+1</f>
        <v>15</v>
      </c>
      <c r="B30" s="21" t="s">
        <v>29</v>
      </c>
      <c r="C30" s="21"/>
      <c r="D30" s="174"/>
      <c r="E30" s="186"/>
      <c r="F30" s="187"/>
      <c r="G30" s="188"/>
      <c r="H30" s="167">
        <f>'101 - Crook County'!H30+'681SCH2013 - CC School Bond'!H30+'602 - Alfalfa Fire Dist'!H30+'610 - AG Extension Service'!H30+'616 - CC Historical Fund'!H30+'622 - High Desert ESD'!H30+'630 - Deschutes County #1 RFPD1'!H30+'631 - CCFR Taxing Zone 1'!H30+'635 - Hahlen Road District'!H30++'664 - CC PARKS &amp; REC DIST'!H30+'665 - Crook City Cemetary'!H30+'666 - Vector Control'!H30+'668 - JUN CAN Water Dist'!H30+'679 - PLA Unit I Road Dist'!H30+'680 - Crook Cty School Dist'!H30+'690 - COCC'!H30+'691 - COCC Bond'!H30+'692 - City of Prineville'!H30+'Ochoco West Water &amp; Sanitary'!H30+'502 - Crook County Jail Bond'!H30</f>
        <v>0</v>
      </c>
      <c r="I30" s="145" t="s">
        <v>150</v>
      </c>
      <c r="Q30" s="146"/>
    </row>
    <row r="31" spans="1:17" ht="15" x14ac:dyDescent="0.2">
      <c r="A31" s="2">
        <f>+A30+1</f>
        <v>16</v>
      </c>
      <c r="B31" s="21" t="s">
        <v>30</v>
      </c>
      <c r="C31" s="21"/>
      <c r="D31" s="174"/>
      <c r="E31" s="186"/>
      <c r="F31" s="187"/>
      <c r="G31" s="188"/>
      <c r="H31" s="167">
        <f>'101 - Crook County'!H31+'681SCH2013 - CC School Bond'!H31+'602 - Alfalfa Fire Dist'!H31+'610 - AG Extension Service'!H31+'616 - CC Historical Fund'!H31+'622 - High Desert ESD'!H31+'630 - Deschutes County #1 RFPD1'!H31+'631 - CCFR Taxing Zone 1'!H31+'635 - Hahlen Road District'!H31++'664 - CC PARKS &amp; REC DIST'!H31+'665 - Crook City Cemetary'!H31+'666 - Vector Control'!H31+'668 - JUN CAN Water Dist'!H31+'679 - PLA Unit I Road Dist'!H31+'680 - Crook Cty School Dist'!H31+'690 - COCC'!H31+'691 - COCC Bond'!H31+'692 - City of Prineville'!H31+'Ochoco West Water &amp; Sanitary'!H31+'502 - Crook County Jail Bond'!H31</f>
        <v>0</v>
      </c>
      <c r="I31" s="145" t="s">
        <v>150</v>
      </c>
      <c r="Q31" s="146"/>
    </row>
    <row r="32" spans="1:17" ht="16.5" thickBot="1" x14ac:dyDescent="0.3">
      <c r="A32" s="2">
        <f>+A31+1</f>
        <v>17</v>
      </c>
      <c r="B32" s="47" t="s">
        <v>31</v>
      </c>
      <c r="C32" s="47"/>
      <c r="D32" s="189"/>
      <c r="E32" s="179"/>
      <c r="F32" s="190"/>
      <c r="G32" s="190"/>
      <c r="H32" s="167">
        <f>'101 - Crook County'!H32+'681SCH2013 - CC School Bond'!H32+'602 - Alfalfa Fire Dist'!H32+'610 - AG Extension Service'!H32+'616 - CC Historical Fund'!H32+'622 - High Desert ESD'!H32+'630 - Deschutes County #1 RFPD1'!H32+'631 - CCFR Taxing Zone 1'!H32+'635 - Hahlen Road District'!H32++'664 - CC PARKS &amp; REC DIST'!H32+'665 - Crook City Cemetary'!H32+'666 - Vector Control'!H32+'668 - JUN CAN Water Dist'!H32+'679 - PLA Unit I Road Dist'!H32+'680 - Crook Cty School Dist'!H32+'690 - COCC'!H32+'691 - COCC Bond'!H32+'692 - City of Prineville'!H32+'Ochoco West Water &amp; Sanitary'!H32+'502 - Crook County Jail Bond'!H32</f>
        <v>28733973328</v>
      </c>
      <c r="I32" s="145" t="s">
        <v>150</v>
      </c>
      <c r="Q32" s="146"/>
    </row>
    <row r="33" spans="1:17" ht="15.75" thickTop="1" x14ac:dyDescent="0.2">
      <c r="A33" s="2"/>
      <c r="B33" s="21" t="s">
        <v>6</v>
      </c>
      <c r="C33" s="21"/>
      <c r="D33" s="181"/>
      <c r="E33" s="182"/>
      <c r="F33" s="181"/>
      <c r="G33" s="181"/>
      <c r="H33" s="181"/>
      <c r="Q33" s="146"/>
    </row>
    <row r="34" spans="1:17" ht="15.75" x14ac:dyDescent="0.25">
      <c r="A34" s="2"/>
      <c r="B34" s="29" t="s">
        <v>32</v>
      </c>
      <c r="C34" s="29"/>
      <c r="D34" s="181"/>
      <c r="E34" s="182"/>
      <c r="F34" s="181"/>
      <c r="G34" s="181"/>
      <c r="H34" s="181"/>
      <c r="Q34" s="146"/>
    </row>
    <row r="35" spans="1:17" ht="15" x14ac:dyDescent="0.2">
      <c r="A35" s="2">
        <f>+A32+1</f>
        <v>18</v>
      </c>
      <c r="B35" s="21" t="s">
        <v>33</v>
      </c>
      <c r="C35" s="21"/>
      <c r="D35" s="167">
        <f>'101 - Crook County'!D35+'681SCH2013 - CC School Bond'!D35+'602 - Alfalfa Fire Dist'!D35+'610 - AG Extension Service'!D35+'616 - CC Historical Fund'!D35+'622 - High Desert ESD'!D35+'630 - Deschutes County #1 RFPD1'!D35+'631 - CCFR Taxing Zone 1'!D35+'635 - Hahlen Road District'!D35++'664 - CC PARKS &amp; REC DIST'!D35+'665 - Crook City Cemetary'!D35+'666 - Vector Control'!D35+'668 - JUN CAN Water Dist'!D35+'679 - PLA Unit I Road Dist'!D35+'680 - Crook Cty School Dist'!D35+'690 - COCC'!D35+'691 - COCC Bond'!D35+'692 - City of Prineville'!D35+'Ochoco West Water &amp; Sanitary'!D35+'502 - Crook County Jail Bond'!D35</f>
        <v>2.4300100000000002E-2</v>
      </c>
      <c r="E35" s="167">
        <f>'101 - Crook County'!E35+'681SCH2013 - CC School Bond'!E35+'602 - Alfalfa Fire Dist'!E35+'610 - AG Extension Service'!E35+'616 - CC Historical Fund'!E35+'622 - High Desert ESD'!E35+'630 - Deschutes County #1 RFPD1'!E35+'631 - CCFR Taxing Zone 1'!E35+'635 - Hahlen Road District'!E35++'664 - CC PARKS &amp; REC DIST'!E35+'665 - Crook City Cemetary'!E35+'666 - Vector Control'!E35+'668 - JUN CAN Water Dist'!E35+'679 - PLA Unit I Road Dist'!E35+'680 - Crook Cty School Dist'!E35+'690 - COCC'!E35+'691 - COCC Bond'!E35+'692 - City of Prineville'!E35+'Ochoco West Water &amp; Sanitary'!E35+'502 - Crook County Jail Bond'!E35</f>
        <v>5.9999999999999995E-5</v>
      </c>
      <c r="F35" s="167">
        <f>'101 - Crook County'!F35+'681SCH2013 - CC School Bond'!F35+'602 - Alfalfa Fire Dist'!F35+'610 - AG Extension Service'!F35+'616 - CC Historical Fund'!F35+'622 - High Desert ESD'!F35+'630 - Deschutes County #1 RFPD1'!F35+'631 - CCFR Taxing Zone 1'!F35+'635 - Hahlen Road District'!F35++'664 - CC PARKS &amp; REC DIST'!F35+'665 - Crook City Cemetary'!F35+'666 - Vector Control'!F35+'668 - JUN CAN Water Dist'!F35+'679 - PLA Unit I Road Dist'!F35+'680 - Crook Cty School Dist'!F35+'690 - COCC'!F35+'691 - COCC Bond'!F35+'692 - City of Prineville'!F35+'Ochoco West Water &amp; Sanitary'!F35+'502 - Crook County Jail Bond'!F35</f>
        <v>0</v>
      </c>
      <c r="G35" s="167">
        <f>'101 - Crook County'!G35+'681SCH2013 - CC School Bond'!G35+'602 - Alfalfa Fire Dist'!G35+'610 - AG Extension Service'!G35+'616 - CC Historical Fund'!G35+'622 - High Desert ESD'!G35+'630 - Deschutes County #1 RFPD1'!G35+'631 - CCFR Taxing Zone 1'!G35+'635 - Hahlen Road District'!G35++'664 - CC PARKS &amp; REC DIST'!G35+'665 - Crook City Cemetary'!G35+'666 - Vector Control'!G35+'668 - JUN CAN Water Dist'!G35+'679 - PLA Unit I Road Dist'!G35+'680 - Crook Cty School Dist'!G35+'690 - COCC'!G35+'691 - COCC Bond'!G35+'692 - City of Prineville'!G35+'Ochoco West Water &amp; Sanitary'!G35+'502 - Crook County Jail Bond'!G35</f>
        <v>1.1784999999999999E-3</v>
      </c>
      <c r="H35" s="167">
        <f>'101 - Crook County'!H35+'681SCH2013 - CC School Bond'!H35+'602 - Alfalfa Fire Dist'!H35+'610 - AG Extension Service'!H35+'616 - CC Historical Fund'!H35+'622 - High Desert ESD'!H35+'630 - Deschutes County #1 RFPD1'!H35+'631 - CCFR Taxing Zone 1'!H35+'635 - Hahlen Road District'!H35++'664 - CC PARKS &amp; REC DIST'!H35+'665 - Crook City Cemetary'!H35+'666 - Vector Control'!H35+'668 - JUN CAN Water Dist'!H35+'679 - PLA Unit I Road Dist'!H35+'680 - Crook Cty School Dist'!H35+'690 - COCC'!H35+'691 - COCC Bond'!H35+'692 - City of Prineville'!H35+'Ochoco West Water &amp; Sanitary'!H35+'502 - Crook County Jail Bond'!H35</f>
        <v>2.5538600000000002E-2</v>
      </c>
      <c r="Q35" s="146"/>
    </row>
    <row r="36" spans="1:17" ht="15" x14ac:dyDescent="0.2">
      <c r="A36" s="2">
        <f t="shared" ref="A36:A41" si="0">+A35+1</f>
        <v>19</v>
      </c>
      <c r="B36" s="21" t="s">
        <v>34</v>
      </c>
      <c r="C36" s="21"/>
      <c r="D36" s="167">
        <f>'101 - Crook County'!D36+'681SCH2013 - CC School Bond'!D36+'602 - Alfalfa Fire Dist'!D36+'610 - AG Extension Service'!D36+'616 - CC Historical Fund'!D36+'622 - High Desert ESD'!D36+'630 - Deschutes County #1 RFPD1'!D36+'631 - CCFR Taxing Zone 1'!D36+'635 - Hahlen Road District'!D36++'664 - CC PARKS &amp; REC DIST'!D36+'665 - Crook City Cemetary'!D36+'666 - Vector Control'!D36+'668 - JUN CAN Water Dist'!D36+'679 - PLA Unit I Road Dist'!D36+'680 - Crook Cty School Dist'!D36+'690 - COCC'!D36+'691 - COCC Bond'!D36+'692 - City of Prineville'!D36+'Ochoco West Water &amp; Sanitary'!D36+'502 - Crook County Jail Bond'!D36</f>
        <v>29471260.259643402</v>
      </c>
      <c r="E36" s="167">
        <f>'101 - Crook County'!E36+'681SCH2013 - CC School Bond'!E36+'602 - Alfalfa Fire Dist'!E36+'610 - AG Extension Service'!E36+'616 - CC Historical Fund'!E36+'622 - High Desert ESD'!E36+'630 - Deschutes County #1 RFPD1'!E36+'631 - CCFR Taxing Zone 1'!E36+'635 - Hahlen Road District'!E36++'664 - CC PARKS &amp; REC DIST'!E36+'665 - Crook City Cemetary'!E36+'666 - Vector Control'!E36+'668 - JUN CAN Water Dist'!E36+'679 - PLA Unit I Road Dist'!E36+'680 - Crook Cty School Dist'!E36+'690 - COCC'!E36+'691 - COCC Bond'!E36+'692 - City of Prineville'!E36+'Ochoco West Water &amp; Sanitary'!E36+'502 - Crook County Jail Bond'!E36</f>
        <v>140097.72</v>
      </c>
      <c r="F36" s="167">
        <f>'101 - Crook County'!F36+'681SCH2013 - CC School Bond'!F36+'602 - Alfalfa Fire Dist'!F36+'610 - AG Extension Service'!F36+'616 - CC Historical Fund'!F36+'622 - High Desert ESD'!F36+'630 - Deschutes County #1 RFPD1'!F36+'631 - CCFR Taxing Zone 1'!F36+'635 - Hahlen Road District'!F36++'664 - CC PARKS &amp; REC DIST'!F36+'665 - Crook City Cemetary'!F36+'666 - Vector Control'!F36+'668 - JUN CAN Water Dist'!F36+'679 - PLA Unit I Road Dist'!F36+'680 - Crook Cty School Dist'!F36+'690 - COCC'!F36+'691 - COCC Bond'!F36+'692 - City of Prineville'!F36+'Ochoco West Water &amp; Sanitary'!F36+'502 - Crook County Jail Bond'!F36</f>
        <v>0</v>
      </c>
      <c r="G36" s="167">
        <f>'101 - Crook County'!G36+'681SCH2013 - CC School Bond'!G36+'602 - Alfalfa Fire Dist'!G36+'610 - AG Extension Service'!G36+'616 - CC Historical Fund'!G36+'622 - High Desert ESD'!G36+'630 - Deschutes County #1 RFPD1'!G36+'631 - CCFR Taxing Zone 1'!G36+'635 - Hahlen Road District'!G36++'664 - CC PARKS &amp; REC DIST'!G36+'665 - Crook City Cemetary'!G36+'666 - Vector Control'!G36+'668 - JUN CAN Water Dist'!G36+'679 - PLA Unit I Road Dist'!G36+'680 - Crook Cty School Dist'!G36+'690 - COCC'!G36+'691 - COCC Bond'!G36+'692 - City of Prineville'!G36+'Ochoco West Water &amp; Sanitary'!G36+'502 - Crook County Jail Bond'!G36</f>
        <v>2751752.7169999997</v>
      </c>
      <c r="H36" s="167">
        <f>'101 - Crook County'!H36+'681SCH2013 - CC School Bond'!H36+'602 - Alfalfa Fire Dist'!H36+'610 - AG Extension Service'!H36+'616 - CC Historical Fund'!H36+'622 - High Desert ESD'!H36+'630 - Deschutes County #1 RFPD1'!H36+'631 - CCFR Taxing Zone 1'!H36+'635 - Hahlen Road District'!H36++'664 - CC PARKS &amp; REC DIST'!H36+'665 - Crook City Cemetary'!H36+'666 - Vector Control'!H36+'668 - JUN CAN Water Dist'!H36+'679 - PLA Unit I Road Dist'!H36+'680 - Crook Cty School Dist'!H36+'690 - COCC'!H36+'691 - COCC Bond'!H36+'692 - City of Prineville'!H36+'Ochoco West Water &amp; Sanitary'!H36+'502 - Crook County Jail Bond'!H36</f>
        <v>32363110.696643405</v>
      </c>
      <c r="Q36" s="146"/>
    </row>
    <row r="37" spans="1:17" ht="15" x14ac:dyDescent="0.2">
      <c r="A37" s="2">
        <f t="shared" si="0"/>
        <v>20</v>
      </c>
      <c r="B37" s="21" t="s">
        <v>35</v>
      </c>
      <c r="C37" s="21"/>
      <c r="D37" s="167">
        <f>'101 - Crook County'!D37+'681SCH2013 - CC School Bond'!D37+'602 - Alfalfa Fire Dist'!D37+'610 - AG Extension Service'!D37+'616 - CC Historical Fund'!D37+'622 - High Desert ESD'!D37+'630 - Deschutes County #1 RFPD1'!D37+'631 - CCFR Taxing Zone 1'!D37+'635 - Hahlen Road District'!D37++'664 - CC PARKS &amp; REC DIST'!D37+'665 - Crook City Cemetary'!D37+'666 - Vector Control'!D37+'668 - JUN CAN Water Dist'!D37+'679 - PLA Unit I Road Dist'!D37+'680 - Crook Cty School Dist'!D37+'690 - COCC'!D37+'691 - COCC Bond'!D37+'692 - City of Prineville'!D37+'Ochoco West Water &amp; Sanitary'!D37+'502 - Crook County Jail Bond'!D37</f>
        <v>-32.259138700001131</v>
      </c>
      <c r="E37" s="167">
        <f>'101 - Crook County'!E37+'681SCH2013 - CC School Bond'!E37+'602 - Alfalfa Fire Dist'!E37+'610 - AG Extension Service'!E37+'616 - CC Historical Fund'!E37+'622 - High Desert ESD'!E37+'630 - Deschutes County #1 RFPD1'!E37+'631 - CCFR Taxing Zone 1'!E37+'635 - Hahlen Road District'!E37++'664 - CC PARKS &amp; REC DIST'!E37+'665 - Crook City Cemetary'!E37+'666 - Vector Control'!E37+'668 - JUN CAN Water Dist'!E37+'679 - PLA Unit I Road Dist'!E37+'680 - Crook Cty School Dist'!E37+'690 - COCC'!E37+'691 - COCC Bond'!E37+'692 - City of Prineville'!E37+'Ochoco West Water &amp; Sanitary'!E37+'502 - Crook County Jail Bond'!E37</f>
        <v>0</v>
      </c>
      <c r="F37" s="167">
        <f>'101 - Crook County'!F37+'681SCH2013 - CC School Bond'!F37+'602 - Alfalfa Fire Dist'!F37+'610 - AG Extension Service'!F37+'616 - CC Historical Fund'!F37+'622 - High Desert ESD'!F37+'630 - Deschutes County #1 RFPD1'!F37+'631 - CCFR Taxing Zone 1'!F37+'635 - Hahlen Road District'!F37++'664 - CC PARKS &amp; REC DIST'!F37+'665 - Crook City Cemetary'!F37+'666 - Vector Control'!F37+'668 - JUN CAN Water Dist'!F37+'679 - PLA Unit I Road Dist'!F37+'680 - Crook Cty School Dist'!F37+'690 - COCC'!F37+'691 - COCC Bond'!F37+'692 - City of Prineville'!F37+'Ochoco West Water &amp; Sanitary'!F37+'502 - Crook County Jail Bond'!F37</f>
        <v>0</v>
      </c>
      <c r="G37" s="167">
        <f>'101 - Crook County'!G37+'681SCH2013 - CC School Bond'!G37+'602 - Alfalfa Fire Dist'!G37+'610 - AG Extension Service'!G37+'616 - CC Historical Fund'!G37+'622 - High Desert ESD'!G37+'630 - Deschutes County #1 RFPD1'!G37+'631 - CCFR Taxing Zone 1'!G37+'635 - Hahlen Road District'!G37++'664 - CC PARKS &amp; REC DIST'!G37+'665 - Crook City Cemetary'!G37+'666 - Vector Control'!G37+'668 - JUN CAN Water Dist'!G37+'679 - PLA Unit I Road Dist'!G37+'680 - Crook Cty School Dist'!G37+'690 - COCC'!G37+'691 - COCC Bond'!G37+'692 - City of Prineville'!G37+'Ochoco West Water &amp; Sanitary'!G37+'502 - Crook County Jail Bond'!G37</f>
        <v>-66.073000000178581</v>
      </c>
      <c r="H37" s="167">
        <f>'101 - Crook County'!H37+'681SCH2013 - CC School Bond'!H37+'602 - Alfalfa Fire Dist'!H37+'610 - AG Extension Service'!H37+'616 - CC Historical Fund'!H37+'622 - High Desert ESD'!H37+'630 - Deschutes County #1 RFPD1'!H37+'631 - CCFR Taxing Zone 1'!H37+'635 - Hahlen Road District'!H37++'664 - CC PARKS &amp; REC DIST'!H37+'665 - Crook City Cemetary'!H37+'666 - Vector Control'!H37+'668 - JUN CAN Water Dist'!H37+'679 - PLA Unit I Road Dist'!H37+'680 - Crook Cty School Dist'!H37+'690 - COCC'!H37+'691 - COCC Bond'!H37+'692 - City of Prineville'!H37+'Ochoco West Water &amp; Sanitary'!H37+'502 - Crook County Jail Bond'!H37</f>
        <v>-98.332138700179712</v>
      </c>
      <c r="I37" t="s">
        <v>196</v>
      </c>
      <c r="Q37" s="146"/>
    </row>
    <row r="38" spans="1:17" ht="15.75" x14ac:dyDescent="0.25">
      <c r="A38" s="2">
        <f t="shared" si="0"/>
        <v>21</v>
      </c>
      <c r="B38" s="21" t="s">
        <v>36</v>
      </c>
      <c r="C38" s="21"/>
      <c r="D38" s="167">
        <f>'101 - Crook County'!D38+'681SCH2013 - CC School Bond'!D38+'602 - Alfalfa Fire Dist'!D38+'610 - AG Extension Service'!D38+'616 - CC Historical Fund'!D38+'622 - High Desert ESD'!D38+'630 - Deschutes County #1 RFPD1'!D38+'631 - CCFR Taxing Zone 1'!D38+'635 - Hahlen Road District'!D38++'664 - CC PARKS &amp; REC DIST'!D38+'665 - Crook City Cemetary'!D38+'666 - Vector Control'!D38+'668 - JUN CAN Water Dist'!D38+'679 - PLA Unit I Road Dist'!D38+'680 - Crook Cty School Dist'!D38+'690 - COCC'!D38+'691 - COCC Bond'!D38+'692 - City of Prineville'!D38+'Ochoco West Water &amp; Sanitary'!D38+'502 - Crook County Jail Bond'!D38</f>
        <v>0</v>
      </c>
      <c r="E38" s="191"/>
      <c r="F38" s="191"/>
      <c r="G38" s="191"/>
      <c r="H38" s="167">
        <f>'101 - Crook County'!H38+'681SCH2013 - CC School Bond'!H38+'602 - Alfalfa Fire Dist'!H38+'610 - AG Extension Service'!H38+'616 - CC Historical Fund'!H38+'622 - High Desert ESD'!H38+'630 - Deschutes County #1 RFPD1'!H38+'631 - CCFR Taxing Zone 1'!H38+'635 - Hahlen Road District'!H38++'664 - CC PARKS &amp; REC DIST'!H38+'665 - Crook City Cemetary'!H38+'666 - Vector Control'!H38+'668 - JUN CAN Water Dist'!H38+'679 - PLA Unit I Road Dist'!H38+'680 - Crook Cty School Dist'!H38+'690 - COCC'!H38+'691 - COCC Bond'!H38+'692 - City of Prineville'!H38+'Ochoco West Water &amp; Sanitary'!H38+'502 - Crook County Jail Bond'!H38</f>
        <v>0</v>
      </c>
      <c r="I38" t="s">
        <v>188</v>
      </c>
      <c r="Q38" s="146"/>
    </row>
    <row r="39" spans="1:17" ht="15" x14ac:dyDescent="0.2">
      <c r="A39" s="2">
        <f t="shared" si="0"/>
        <v>22</v>
      </c>
      <c r="B39" s="21" t="s">
        <v>37</v>
      </c>
      <c r="C39" s="21"/>
      <c r="D39" s="167">
        <f>'101 - Crook County'!D39+'681SCH2013 - CC School Bond'!D39+'602 - Alfalfa Fire Dist'!D39+'610 - AG Extension Service'!D39+'616 - CC Historical Fund'!D39+'622 - High Desert ESD'!D39+'630 - Deschutes County #1 RFPD1'!D39+'631 - CCFR Taxing Zone 1'!D39+'635 - Hahlen Road District'!D39++'664 - CC PARKS &amp; REC DIST'!D39+'665 - Crook City Cemetary'!D39+'666 - Vector Control'!D39+'668 - JUN CAN Water Dist'!D39+'679 - PLA Unit I Road Dist'!D39+'680 - Crook Cty School Dist'!D39+'690 - COCC'!D39+'691 - COCC Bond'!D39+'692 - City of Prineville'!D39+'Ochoco West Water &amp; Sanitary'!D39+'502 - Crook County Jail Bond'!D39</f>
        <v>0</v>
      </c>
      <c r="E39" s="192"/>
      <c r="F39" s="192"/>
      <c r="G39" s="192"/>
      <c r="H39" s="167">
        <f>'101 - Crook County'!H39+'681SCH2013 - CC School Bond'!H39+'602 - Alfalfa Fire Dist'!H39+'610 - AG Extension Service'!H39+'616 - CC Historical Fund'!H39+'622 - High Desert ESD'!H39+'630 - Deschutes County #1 RFPD1'!H39+'631 - CCFR Taxing Zone 1'!H39+'635 - Hahlen Road District'!H39++'664 - CC PARKS &amp; REC DIST'!H39+'665 - Crook City Cemetary'!H39+'666 - Vector Control'!H39+'668 - JUN CAN Water Dist'!H39+'679 - PLA Unit I Road Dist'!H39+'680 - Crook Cty School Dist'!H39+'690 - COCC'!H39+'691 - COCC Bond'!H39+'692 - City of Prineville'!H39+'Ochoco West Water &amp; Sanitary'!H39+'502 - Crook County Jail Bond'!H39</f>
        <v>0</v>
      </c>
      <c r="I39" t="s">
        <v>202</v>
      </c>
      <c r="Q39" s="146"/>
    </row>
    <row r="40" spans="1:17" ht="15" x14ac:dyDescent="0.2">
      <c r="A40" s="2">
        <f t="shared" si="0"/>
        <v>23</v>
      </c>
      <c r="B40" s="21" t="s">
        <v>38</v>
      </c>
      <c r="C40" s="21"/>
      <c r="D40" s="167">
        <f>'101 - Crook County'!D40+'681SCH2013 - CC School Bond'!D40+'602 - Alfalfa Fire Dist'!D40+'610 - AG Extension Service'!D40+'616 - CC Historical Fund'!D40+'622 - High Desert ESD'!D40+'630 - Deschutes County #1 RFPD1'!D40+'631 - CCFR Taxing Zone 1'!D40+'635 - Hahlen Road District'!D40++'664 - CC PARKS &amp; REC DIST'!D40+'665 - Crook City Cemetary'!D40+'666 - Vector Control'!D40+'668 - JUN CAN Water Dist'!D40+'679 - PLA Unit I Road Dist'!D40+'680 - Crook Cty School Dist'!D40+'690 - COCC'!D40+'691 - COCC Bond'!D40+'692 - City of Prineville'!D40+'Ochoco West Water &amp; Sanitary'!D40+'502 - Crook County Jail Bond'!D40</f>
        <v>2.4300100000000002E-2</v>
      </c>
      <c r="E40" s="167">
        <f>'101 - Crook County'!E40+'681SCH2013 - CC School Bond'!E40+'602 - Alfalfa Fire Dist'!E40+'610 - AG Extension Service'!E40+'616 - CC Historical Fund'!E40+'622 - High Desert ESD'!E40+'630 - Deschutes County #1 RFPD1'!E40+'631 - CCFR Taxing Zone 1'!E40+'635 - Hahlen Road District'!E40++'664 - CC PARKS &amp; REC DIST'!E40+'665 - Crook City Cemetary'!E40+'666 - Vector Control'!E40+'668 - JUN CAN Water Dist'!E40+'679 - PLA Unit I Road Dist'!E40+'680 - Crook Cty School Dist'!E40+'690 - COCC'!E40+'691 - COCC Bond'!E40+'692 - City of Prineville'!E40+'Ochoco West Water &amp; Sanitary'!E40+'502 - Crook County Jail Bond'!E40</f>
        <v>5.9999999999999995E-5</v>
      </c>
      <c r="F40" s="167">
        <f>'101 - Crook County'!F40+'681SCH2013 - CC School Bond'!F40+'602 - Alfalfa Fire Dist'!F40+'610 - AG Extension Service'!F40+'616 - CC Historical Fund'!F40+'622 - High Desert ESD'!F40+'630 - Deschutes County #1 RFPD1'!F40+'631 - CCFR Taxing Zone 1'!F40+'635 - Hahlen Road District'!F40++'664 - CC PARKS &amp; REC DIST'!F40+'665 - Crook City Cemetary'!F40+'666 - Vector Control'!F40+'668 - JUN CAN Water Dist'!F40+'679 - PLA Unit I Road Dist'!F40+'680 - Crook Cty School Dist'!F40+'690 - COCC'!F40+'691 - COCC Bond'!F40+'692 - City of Prineville'!F40+'Ochoco West Water &amp; Sanitary'!F40+'502 - Crook County Jail Bond'!F40</f>
        <v>0</v>
      </c>
      <c r="G40" s="167">
        <f>'101 - Crook County'!G40+'681SCH2013 - CC School Bond'!G40+'602 - Alfalfa Fire Dist'!G40+'610 - AG Extension Service'!G40+'616 - CC Historical Fund'!G40+'622 - High Desert ESD'!G40+'630 - Deschutes County #1 RFPD1'!G40+'631 - CCFR Taxing Zone 1'!G40+'635 - Hahlen Road District'!G40++'664 - CC PARKS &amp; REC DIST'!G40+'665 - Crook City Cemetary'!G40+'666 - Vector Control'!G40+'668 - JUN CAN Water Dist'!G40+'679 - PLA Unit I Road Dist'!G40+'680 - Crook Cty School Dist'!G40+'690 - COCC'!G40+'691 - COCC Bond'!G40+'692 - City of Prineville'!G40+'Ochoco West Water &amp; Sanitary'!G40+'502 - Crook County Jail Bond'!G40</f>
        <v>1.1784999999999999E-3</v>
      </c>
      <c r="H40" s="167">
        <f>'101 - Crook County'!H40+'681SCH2013 - CC School Bond'!H40+'602 - Alfalfa Fire Dist'!H40+'610 - AG Extension Service'!H40+'616 - CC Historical Fund'!H40+'622 - High Desert ESD'!H40+'630 - Deschutes County #1 RFPD1'!H40+'631 - CCFR Taxing Zone 1'!H40+'635 - Hahlen Road District'!H40++'664 - CC PARKS &amp; REC DIST'!H40+'665 - Crook City Cemetary'!H40+'666 - Vector Control'!H40+'668 - JUN CAN Water Dist'!H40+'679 - PLA Unit I Road Dist'!H40+'680 - Crook Cty School Dist'!H40+'690 - COCC'!H40+'691 - COCC Bond'!H40+'692 - City of Prineville'!H40+'Ochoco West Water &amp; Sanitary'!H40+'502 - Crook County Jail Bond'!H40</f>
        <v>2.5538600000000002E-2</v>
      </c>
      <c r="Q40" s="146"/>
    </row>
    <row r="41" spans="1:17" ht="15" x14ac:dyDescent="0.2">
      <c r="A41" s="2">
        <f t="shared" si="0"/>
        <v>24</v>
      </c>
      <c r="B41" s="21" t="s">
        <v>39</v>
      </c>
      <c r="C41" s="21"/>
      <c r="D41" s="167">
        <f>'101 - Crook County'!D41+'681SCH2013 - CC School Bond'!D41+'602 - Alfalfa Fire Dist'!D41+'610 - AG Extension Service'!D41+'616 - CC Historical Fund'!D41+'622 - High Desert ESD'!D41+'630 - Deschutes County #1 RFPD1'!D41+'631 - CCFR Taxing Zone 1'!D41+'635 - Hahlen Road District'!D41++'664 - CC PARKS &amp; REC DIST'!D41+'665 - Crook City Cemetary'!D41+'666 - Vector Control'!D41+'668 - JUN CAN Water Dist'!D41+'679 - PLA Unit I Road Dist'!D41+'680 - Crook Cty School Dist'!D41+'690 - COCC'!D41+'691 - COCC Bond'!D41+'692 - City of Prineville'!D41+'Ochoco West Water &amp; Sanitary'!D41+'502 - Crook County Jail Bond'!D41</f>
        <v>29471260.259999998</v>
      </c>
      <c r="E41" s="167">
        <f>'101 - Crook County'!E41+'681SCH2013 - CC School Bond'!E41+'602 - Alfalfa Fire Dist'!E41+'610 - AG Extension Service'!E41+'616 - CC Historical Fund'!E41+'622 - High Desert ESD'!E41+'630 - Deschutes County #1 RFPD1'!E41+'631 - CCFR Taxing Zone 1'!E41+'635 - Hahlen Road District'!E41++'664 - CC PARKS &amp; REC DIST'!E41+'665 - Crook City Cemetary'!E41+'666 - Vector Control'!E41+'668 - JUN CAN Water Dist'!E41+'679 - PLA Unit I Road Dist'!E41+'680 - Crook Cty School Dist'!E41+'690 - COCC'!E41+'691 - COCC Bond'!E41+'692 - City of Prineville'!E41+'Ochoco West Water &amp; Sanitary'!E41+'502 - Crook County Jail Bond'!E41</f>
        <v>140097.72</v>
      </c>
      <c r="F41" s="167">
        <f>'101 - Crook County'!F41+'681SCH2013 - CC School Bond'!F41+'602 - Alfalfa Fire Dist'!F41+'610 - AG Extension Service'!F41+'616 - CC Historical Fund'!F41+'622 - High Desert ESD'!F41+'630 - Deschutes County #1 RFPD1'!F41+'631 - CCFR Taxing Zone 1'!F41+'635 - Hahlen Road District'!F41++'664 - CC PARKS &amp; REC DIST'!F41+'665 - Crook City Cemetary'!F41+'666 - Vector Control'!F41+'668 - JUN CAN Water Dist'!F41+'679 - PLA Unit I Road Dist'!F41+'680 - Crook Cty School Dist'!F41+'690 - COCC'!F41+'691 - COCC Bond'!F41+'692 - City of Prineville'!F41+'Ochoco West Water &amp; Sanitary'!F41+'502 - Crook County Jail Bond'!F41</f>
        <v>0</v>
      </c>
      <c r="G41" s="167">
        <f>'101 - Crook County'!G41+'681SCH2013 - CC School Bond'!G41+'602 - Alfalfa Fire Dist'!G41+'610 - AG Extension Service'!G41+'616 - CC Historical Fund'!G41+'622 - High Desert ESD'!G41+'630 - Deschutes County #1 RFPD1'!G41+'631 - CCFR Taxing Zone 1'!G41+'635 - Hahlen Road District'!G41++'664 - CC PARKS &amp; REC DIST'!G41+'665 - Crook City Cemetary'!G41+'666 - Vector Control'!G41+'668 - JUN CAN Water Dist'!G41+'679 - PLA Unit I Road Dist'!G41+'680 - Crook Cty School Dist'!G41+'690 - COCC'!G41+'691 - COCC Bond'!G41+'692 - City of Prineville'!G41+'Ochoco West Water &amp; Sanitary'!G41+'502 - Crook County Jail Bond'!G41</f>
        <v>2751752.72</v>
      </c>
      <c r="H41" s="167">
        <f>'101 - Crook County'!H41+'681SCH2013 - CC School Bond'!H41+'602 - Alfalfa Fire Dist'!H41+'610 - AG Extension Service'!H41+'616 - CC Historical Fund'!H41+'622 - High Desert ESD'!H41+'630 - Deschutes County #1 RFPD1'!H41+'631 - CCFR Taxing Zone 1'!H41+'635 - Hahlen Road District'!H41++'664 - CC PARKS &amp; REC DIST'!H41+'665 - Crook City Cemetary'!H41+'666 - Vector Control'!H41+'668 - JUN CAN Water Dist'!H41+'679 - PLA Unit I Road Dist'!H41+'680 - Crook Cty School Dist'!H41+'690 - COCC'!H41+'691 - COCC Bond'!H41+'692 - City of Prineville'!H41+'Ochoco West Water &amp; Sanitary'!H41+'502 - Crook County Jail Bond'!H41</f>
        <v>32363110.700000003</v>
      </c>
      <c r="Q41" s="146"/>
    </row>
    <row r="42" spans="1:17" ht="15" x14ac:dyDescent="0.2">
      <c r="A42" s="33" t="s">
        <v>40</v>
      </c>
      <c r="B42" s="83" t="s">
        <v>41</v>
      </c>
      <c r="C42" s="84"/>
      <c r="D42" s="167">
        <f>'101 - Crook County'!D42+'681SCH2013 - CC School Bond'!D42+'602 - Alfalfa Fire Dist'!D42+'610 - AG Extension Service'!D42+'616 - CC Historical Fund'!D42+'622 - High Desert ESD'!D42+'630 - Deschutes County #1 RFPD1'!D42+'631 - CCFR Taxing Zone 1'!D42+'635 - Hahlen Road District'!D42++'664 - CC PARKS &amp; REC DIST'!D42+'665 - Crook City Cemetary'!D42+'666 - Vector Control'!D42+'668 - JUN CAN Water Dist'!D42+'679 - PLA Unit I Road Dist'!D42+'680 - Crook Cty School Dist'!D42+'690 - COCC'!D42+'691 - COCC Bond'!D42+'692 - City of Prineville'!D42+'Ochoco West Water &amp; Sanitary'!D42+'502 - Crook County Jail Bond'!D42</f>
        <v>0</v>
      </c>
      <c r="E42" s="167">
        <f>'101 - Crook County'!E42+'681SCH2013 - CC School Bond'!E42+'602 - Alfalfa Fire Dist'!E42+'610 - AG Extension Service'!E42+'616 - CC Historical Fund'!E42+'622 - High Desert ESD'!E42+'630 - Deschutes County #1 RFPD1'!E42+'631 - CCFR Taxing Zone 1'!E42+'635 - Hahlen Road District'!E42++'664 - CC PARKS &amp; REC DIST'!E42+'665 - Crook City Cemetary'!E42+'666 - Vector Control'!E42+'668 - JUN CAN Water Dist'!E42+'679 - PLA Unit I Road Dist'!E42+'680 - Crook Cty School Dist'!E42+'690 - COCC'!E42+'691 - COCC Bond'!E42+'692 - City of Prineville'!E42+'Ochoco West Water &amp; Sanitary'!E42+'502 - Crook County Jail Bond'!E42</f>
        <v>0</v>
      </c>
      <c r="F42" s="167">
        <f>'101 - Crook County'!F42+'681SCH2013 - CC School Bond'!F42+'602 - Alfalfa Fire Dist'!F42+'610 - AG Extension Service'!F42+'616 - CC Historical Fund'!F42+'622 - High Desert ESD'!F42+'630 - Deschutes County #1 RFPD1'!F42+'631 - CCFR Taxing Zone 1'!F42+'635 - Hahlen Road District'!F42++'664 - CC PARKS &amp; REC DIST'!F42+'665 - Crook City Cemetary'!F42+'666 - Vector Control'!F42+'668 - JUN CAN Water Dist'!F42+'679 - PLA Unit I Road Dist'!F42+'680 - Crook Cty School Dist'!F42+'690 - COCC'!F42+'691 - COCC Bond'!F42+'692 - City of Prineville'!F42+'Ochoco West Water &amp; Sanitary'!F42+'502 - Crook County Jail Bond'!F42</f>
        <v>0</v>
      </c>
      <c r="G42" s="167">
        <f>'101 - Crook County'!G42+'681SCH2013 - CC School Bond'!G42+'602 - Alfalfa Fire Dist'!G42+'610 - AG Extension Service'!G42+'616 - CC Historical Fund'!G42+'622 - High Desert ESD'!G42+'630 - Deschutes County #1 RFPD1'!G42+'631 - CCFR Taxing Zone 1'!G42+'635 - Hahlen Road District'!G42++'664 - CC PARKS &amp; REC DIST'!G42+'665 - Crook City Cemetary'!G42+'666 - Vector Control'!G42+'668 - JUN CAN Water Dist'!G42+'679 - PLA Unit I Road Dist'!G42+'680 - Crook Cty School Dist'!G42+'690 - COCC'!G42+'691 - COCC Bond'!G42+'692 - City of Prineville'!G42+'Ochoco West Water &amp; Sanitary'!G42+'502 - Crook County Jail Bond'!G42</f>
        <v>0</v>
      </c>
      <c r="H42" s="167">
        <f>'101 - Crook County'!H42+'681SCH2013 - CC School Bond'!H42+'602 - Alfalfa Fire Dist'!H42+'610 - AG Extension Service'!H42+'616 - CC Historical Fund'!H42+'622 - High Desert ESD'!H42+'630 - Deschutes County #1 RFPD1'!H42+'631 - CCFR Taxing Zone 1'!H42+'635 - Hahlen Road District'!H42++'664 - CC PARKS &amp; REC DIST'!H42+'665 - Crook City Cemetary'!H42+'666 - Vector Control'!H42+'668 - JUN CAN Water Dist'!H42+'679 - PLA Unit I Road Dist'!H42+'680 - Crook Cty School Dist'!H42+'690 - COCC'!H42+'691 - COCC Bond'!H42+'692 - City of Prineville'!H42+'Ochoco West Water &amp; Sanitary'!H42+'502 - Crook County Jail Bond'!H42</f>
        <v>0</v>
      </c>
      <c r="I42" t="s">
        <v>200</v>
      </c>
      <c r="Q42" s="146"/>
    </row>
    <row r="43" spans="1:17" ht="15" x14ac:dyDescent="0.2">
      <c r="A43" s="33" t="s">
        <v>42</v>
      </c>
      <c r="B43" s="83" t="s">
        <v>43</v>
      </c>
      <c r="C43" s="21"/>
      <c r="D43" s="167">
        <f>'101 - Crook County'!D43+'681SCH2013 - CC School Bond'!D43+'602 - Alfalfa Fire Dist'!D43+'610 - AG Extension Service'!D43+'616 - CC Historical Fund'!D43+'622 - High Desert ESD'!D43+'630 - Deschutes County #1 RFPD1'!D43+'631 - CCFR Taxing Zone 1'!D43+'635 - Hahlen Road District'!D43++'664 - CC PARKS &amp; REC DIST'!D43+'665 - Crook City Cemetary'!D43+'666 - Vector Control'!D43+'668 - JUN CAN Water Dist'!D43+'679 - PLA Unit I Road Dist'!D43+'680 - Crook Cty School Dist'!D43+'690 - COCC'!D43+'691 - COCC Bond'!D43+'692 - City of Prineville'!D43+'Ochoco West Water &amp; Sanitary'!D43+'502 - Crook County Jail Bond'!D43</f>
        <v>0</v>
      </c>
      <c r="E43" s="167">
        <f>'101 - Crook County'!E43+'681SCH2013 - CC School Bond'!E43+'602 - Alfalfa Fire Dist'!E43+'610 - AG Extension Service'!E43+'616 - CC Historical Fund'!E43+'622 - High Desert ESD'!E43+'630 - Deschutes County #1 RFPD1'!E43+'631 - CCFR Taxing Zone 1'!E43+'635 - Hahlen Road District'!E43++'664 - CC PARKS &amp; REC DIST'!E43+'665 - Crook City Cemetary'!E43+'666 - Vector Control'!E43+'668 - JUN CAN Water Dist'!E43+'679 - PLA Unit I Road Dist'!E43+'680 - Crook Cty School Dist'!E43+'690 - COCC'!E43+'691 - COCC Bond'!E43+'692 - City of Prineville'!E43+'Ochoco West Water &amp; Sanitary'!E43+'502 - Crook County Jail Bond'!E43</f>
        <v>0</v>
      </c>
      <c r="F43" s="167">
        <f>'101 - Crook County'!F43+'681SCH2013 - CC School Bond'!F43+'602 - Alfalfa Fire Dist'!F43+'610 - AG Extension Service'!F43+'616 - CC Historical Fund'!F43+'622 - High Desert ESD'!F43+'630 - Deschutes County #1 RFPD1'!F43+'631 - CCFR Taxing Zone 1'!F43+'635 - Hahlen Road District'!F43++'664 - CC PARKS &amp; REC DIST'!F43+'665 - Crook City Cemetary'!F43+'666 - Vector Control'!F43+'668 - JUN CAN Water Dist'!F43+'679 - PLA Unit I Road Dist'!F43+'680 - Crook Cty School Dist'!F43+'690 - COCC'!F43+'691 - COCC Bond'!F43+'692 - City of Prineville'!F43+'Ochoco West Water &amp; Sanitary'!F43+'502 - Crook County Jail Bond'!F43</f>
        <v>0</v>
      </c>
      <c r="G43" s="167">
        <f>'101 - Crook County'!G43+'681SCH2013 - CC School Bond'!G43+'602 - Alfalfa Fire Dist'!G43+'610 - AG Extension Service'!G43+'616 - CC Historical Fund'!G43+'622 - High Desert ESD'!G43+'630 - Deschutes County #1 RFPD1'!G43+'631 - CCFR Taxing Zone 1'!G43+'635 - Hahlen Road District'!G43++'664 - CC PARKS &amp; REC DIST'!G43+'665 - Crook City Cemetary'!G43+'666 - Vector Control'!G43+'668 - JUN CAN Water Dist'!G43+'679 - PLA Unit I Road Dist'!G43+'680 - Crook Cty School Dist'!G43+'690 - COCC'!G43+'691 - COCC Bond'!G43+'692 - City of Prineville'!G43+'Ochoco West Water &amp; Sanitary'!G43+'502 - Crook County Jail Bond'!G43</f>
        <v>0</v>
      </c>
      <c r="H43" s="167">
        <f>'101 - Crook County'!H43+'681SCH2013 - CC School Bond'!H43+'602 - Alfalfa Fire Dist'!H43+'610 - AG Extension Service'!H43+'616 - CC Historical Fund'!H43+'622 - High Desert ESD'!H43+'630 - Deschutes County #1 RFPD1'!H43+'631 - CCFR Taxing Zone 1'!H43+'635 - Hahlen Road District'!H43++'664 - CC PARKS &amp; REC DIST'!H43+'665 - Crook City Cemetary'!H43+'666 - Vector Control'!H43+'668 - JUN CAN Water Dist'!H43+'679 - PLA Unit I Road Dist'!H43+'680 - Crook Cty School Dist'!H43+'690 - COCC'!H43+'691 - COCC Bond'!H43+'692 - City of Prineville'!H43+'Ochoco West Water &amp; Sanitary'!H43+'502 - Crook County Jail Bond'!H43</f>
        <v>0</v>
      </c>
      <c r="J43" t="s">
        <v>201</v>
      </c>
      <c r="Q43" s="146"/>
    </row>
    <row r="44" spans="1:17" ht="15" x14ac:dyDescent="0.2">
      <c r="A44" s="33" t="s">
        <v>44</v>
      </c>
      <c r="B44" s="21" t="s">
        <v>45</v>
      </c>
      <c r="C44" s="21"/>
      <c r="D44" s="167">
        <f>'101 - Crook County'!D44+'681SCH2013 - CC School Bond'!D44+'602 - Alfalfa Fire Dist'!D44+'610 - AG Extension Service'!D44+'616 - CC Historical Fund'!D44+'622 - High Desert ESD'!D44+'630 - Deschutes County #1 RFPD1'!D44+'631 - CCFR Taxing Zone 1'!D44+'635 - Hahlen Road District'!D44++'664 - CC PARKS &amp; REC DIST'!D44+'665 - Crook City Cemetary'!D44+'666 - Vector Control'!D44+'668 - JUN CAN Water Dist'!D44+'679 - PLA Unit I Road Dist'!D44+'680 - Crook Cty School Dist'!D44+'690 - COCC'!D44+'691 - COCC Bond'!D44+'692 - City of Prineville'!D44+'Ochoco West Water &amp; Sanitary'!D44+'502 - Crook County Jail Bond'!D44</f>
        <v>29471260.259999998</v>
      </c>
      <c r="E44" s="167">
        <f>'101 - Crook County'!E44+'681SCH2013 - CC School Bond'!E44+'602 - Alfalfa Fire Dist'!E44+'610 - AG Extension Service'!E44+'616 - CC Historical Fund'!E44+'622 - High Desert ESD'!E44+'630 - Deschutes County #1 RFPD1'!E44+'631 - CCFR Taxing Zone 1'!E44+'635 - Hahlen Road District'!E44++'664 - CC PARKS &amp; REC DIST'!E44+'665 - Crook City Cemetary'!E44+'666 - Vector Control'!E44+'668 - JUN CAN Water Dist'!E44+'679 - PLA Unit I Road Dist'!E44+'680 - Crook Cty School Dist'!E44+'690 - COCC'!E44+'691 - COCC Bond'!E44+'692 - City of Prineville'!E44+'Ochoco West Water &amp; Sanitary'!E44+'502 - Crook County Jail Bond'!E44</f>
        <v>140097.72</v>
      </c>
      <c r="F44" s="167">
        <f>'101 - Crook County'!F44+'681SCH2013 - CC School Bond'!F44+'602 - Alfalfa Fire Dist'!F44+'610 - AG Extension Service'!F44+'616 - CC Historical Fund'!F44+'622 - High Desert ESD'!F44+'630 - Deschutes County #1 RFPD1'!F44+'631 - CCFR Taxing Zone 1'!F44+'635 - Hahlen Road District'!F44++'664 - CC PARKS &amp; REC DIST'!F44+'665 - Crook City Cemetary'!F44+'666 - Vector Control'!F44+'668 - JUN CAN Water Dist'!F44+'679 - PLA Unit I Road Dist'!F44+'680 - Crook Cty School Dist'!F44+'690 - COCC'!F44+'691 - COCC Bond'!F44+'692 - City of Prineville'!F44+'Ochoco West Water &amp; Sanitary'!F44+'502 - Crook County Jail Bond'!F44</f>
        <v>0</v>
      </c>
      <c r="G44" s="167">
        <f>'101 - Crook County'!G44+'681SCH2013 - CC School Bond'!G44+'602 - Alfalfa Fire Dist'!G44+'610 - AG Extension Service'!G44+'616 - CC Historical Fund'!G44+'622 - High Desert ESD'!G44+'630 - Deschutes County #1 RFPD1'!G44+'631 - CCFR Taxing Zone 1'!G44+'635 - Hahlen Road District'!G44++'664 - CC PARKS &amp; REC DIST'!G44+'665 - Crook City Cemetary'!G44+'666 - Vector Control'!G44+'668 - JUN CAN Water Dist'!G44+'679 - PLA Unit I Road Dist'!G44+'680 - Crook Cty School Dist'!G44+'690 - COCC'!G44+'691 - COCC Bond'!G44+'692 - City of Prineville'!G44+'Ochoco West Water &amp; Sanitary'!G44+'502 - Crook County Jail Bond'!G44</f>
        <v>2751752.72</v>
      </c>
      <c r="H44" s="167">
        <f>'101 - Crook County'!H44+'681SCH2013 - CC School Bond'!H44+'602 - Alfalfa Fire Dist'!H44+'610 - AG Extension Service'!H44+'616 - CC Historical Fund'!H44+'622 - High Desert ESD'!H44+'630 - Deschutes County #1 RFPD1'!H44+'631 - CCFR Taxing Zone 1'!H44+'635 - Hahlen Road District'!H44++'664 - CC PARKS &amp; REC DIST'!H44+'665 - Crook City Cemetary'!H44+'666 - Vector Control'!H44+'668 - JUN CAN Water Dist'!H44+'679 - PLA Unit I Road Dist'!H44+'680 - Crook Cty School Dist'!H44+'690 - COCC'!H44+'691 - COCC Bond'!H44+'692 - City of Prineville'!H44+'Ochoco West Water &amp; Sanitary'!H44+'502 - Crook County Jail Bond'!H44</f>
        <v>32363110.700000003</v>
      </c>
      <c r="Q44" s="146"/>
    </row>
    <row r="45" spans="1:17" ht="15" x14ac:dyDescent="0.2">
      <c r="A45" s="2">
        <v>25</v>
      </c>
      <c r="B45" s="21" t="s">
        <v>46</v>
      </c>
      <c r="C45" s="21"/>
      <c r="D45" s="167">
        <f>'101 - Crook County'!D45+'681SCH2013 - CC School Bond'!D45+'602 - Alfalfa Fire Dist'!D45+'610 - AG Extension Service'!D45+'616 - CC Historical Fund'!D45+'622 - High Desert ESD'!D45+'630 - Deschutes County #1 RFPD1'!D45+'631 - CCFR Taxing Zone 1'!D45+'635 - Hahlen Road District'!D45++'664 - CC PARKS &amp; REC DIST'!D45+'665 - Crook City Cemetary'!D45+'666 - Vector Control'!D45+'668 - JUN CAN Water Dist'!D45+'679 - PLA Unit I Road Dist'!D45+'680 - Crook Cty School Dist'!D45+'690 - COCC'!D45+'691 - COCC Bond'!D45+'692 - City of Prineville'!D45+'Ochoco West Water &amp; Sanitary'!D45+'502 - Crook County Jail Bond'!D45</f>
        <v>29471260.259999998</v>
      </c>
      <c r="E45" s="167">
        <f>'101 - Crook County'!E45+'681SCH2013 - CC School Bond'!E45+'602 - Alfalfa Fire Dist'!E45+'610 - AG Extension Service'!E45+'616 - CC Historical Fund'!E45+'622 - High Desert ESD'!E45+'630 - Deschutes County #1 RFPD1'!E45+'631 - CCFR Taxing Zone 1'!E45+'635 - Hahlen Road District'!E45++'664 - CC PARKS &amp; REC DIST'!E45+'665 - Crook City Cemetary'!E45+'666 - Vector Control'!E45+'668 - JUN CAN Water Dist'!E45+'679 - PLA Unit I Road Dist'!E45+'680 - Crook Cty School Dist'!E45+'690 - COCC'!E45+'691 - COCC Bond'!E45+'692 - City of Prineville'!E45+'Ochoco West Water &amp; Sanitary'!E45+'502 - Crook County Jail Bond'!E45</f>
        <v>140097.72</v>
      </c>
      <c r="F45" s="167">
        <f>'101 - Crook County'!F45+'681SCH2013 - CC School Bond'!F45+'602 - Alfalfa Fire Dist'!F45+'610 - AG Extension Service'!F45+'616 - CC Historical Fund'!F45+'622 - High Desert ESD'!F45+'630 - Deschutes County #1 RFPD1'!F45+'631 - CCFR Taxing Zone 1'!F45+'635 - Hahlen Road District'!F45++'664 - CC PARKS &amp; REC DIST'!F45+'665 - Crook City Cemetary'!F45+'666 - Vector Control'!F45+'668 - JUN CAN Water Dist'!F45+'679 - PLA Unit I Road Dist'!F45+'680 - Crook Cty School Dist'!F45+'690 - COCC'!F45+'691 - COCC Bond'!F45+'692 - City of Prineville'!F45+'Ochoco West Water &amp; Sanitary'!F45+'502 - Crook County Jail Bond'!F45</f>
        <v>0</v>
      </c>
      <c r="G45" s="167">
        <f>'101 - Crook County'!G45+'681SCH2013 - CC School Bond'!G45+'602 - Alfalfa Fire Dist'!G45+'610 - AG Extension Service'!G45+'616 - CC Historical Fund'!G45+'622 - High Desert ESD'!G45+'630 - Deschutes County #1 RFPD1'!G45+'631 - CCFR Taxing Zone 1'!G45+'635 - Hahlen Road District'!G45++'664 - CC PARKS &amp; REC DIST'!G45+'665 - Crook City Cemetary'!G45+'666 - Vector Control'!G45+'668 - JUN CAN Water Dist'!G45+'679 - PLA Unit I Road Dist'!G45+'680 - Crook Cty School Dist'!G45+'690 - COCC'!G45+'691 - COCC Bond'!G45+'692 - City of Prineville'!G45+'Ochoco West Water &amp; Sanitary'!G45+'502 - Crook County Jail Bond'!G45</f>
        <v>2751752.72</v>
      </c>
      <c r="H45" s="167">
        <f>'101 - Crook County'!H45+'681SCH2013 - CC School Bond'!H45+'602 - Alfalfa Fire Dist'!H45+'610 - AG Extension Service'!H45+'616 - CC Historical Fund'!H45+'622 - High Desert ESD'!H45+'630 - Deschutes County #1 RFPD1'!H45+'631 - CCFR Taxing Zone 1'!H45+'635 - Hahlen Road District'!H45++'664 - CC PARKS &amp; REC DIST'!H45+'665 - Crook City Cemetary'!H45+'666 - Vector Control'!H45+'668 - JUN CAN Water Dist'!H45+'679 - PLA Unit I Road Dist'!H45+'680 - Crook Cty School Dist'!H45+'690 - COCC'!H45+'691 - COCC Bond'!H45+'692 - City of Prineville'!H45+'Ochoco West Water &amp; Sanitary'!H45+'502 - Crook County Jail Bond'!H45</f>
        <v>32363110.700000003</v>
      </c>
      <c r="Q45" s="146"/>
    </row>
    <row r="46" spans="1:17" ht="15" x14ac:dyDescent="0.2">
      <c r="A46" s="2">
        <f>+A45+1</f>
        <v>26</v>
      </c>
      <c r="B46" s="21" t="s">
        <v>47</v>
      </c>
      <c r="C46" s="21"/>
      <c r="D46" s="167">
        <f>'101 - Crook County'!D46+'681SCH2013 - CC School Bond'!D46+'602 - Alfalfa Fire Dist'!D46+'610 - AG Extension Service'!D46+'616 - CC Historical Fund'!D46+'622 - High Desert ESD'!D46+'630 - Deschutes County #1 RFPD1'!D46+'631 - CCFR Taxing Zone 1'!D46+'635 - Hahlen Road District'!D46++'664 - CC PARKS &amp; REC DIST'!D46+'665 - Crook City Cemetary'!D46+'666 - Vector Control'!D46+'668 - JUN CAN Water Dist'!D46+'679 - PLA Unit I Road Dist'!D46+'680 - Crook Cty School Dist'!D46+'690 - COCC'!D46+'691 - COCC Bond'!D46+'692 - City of Prineville'!D46+'Ochoco West Water &amp; Sanitary'!D46+'502 - Crook County Jail Bond'!D46</f>
        <v>0</v>
      </c>
      <c r="E46" s="167">
        <f>'101 - Crook County'!E46+'681SCH2013 - CC School Bond'!E46+'602 - Alfalfa Fire Dist'!E46+'610 - AG Extension Service'!E46+'616 - CC Historical Fund'!E46+'622 - High Desert ESD'!E46+'630 - Deschutes County #1 RFPD1'!E46+'631 - CCFR Taxing Zone 1'!E46+'635 - Hahlen Road District'!E46++'664 - CC PARKS &amp; REC DIST'!E46+'665 - Crook City Cemetary'!E46+'666 - Vector Control'!E46+'668 - JUN CAN Water Dist'!E46+'679 - PLA Unit I Road Dist'!E46+'680 - Crook Cty School Dist'!E46+'690 - COCC'!E46+'691 - COCC Bond'!E46+'692 - City of Prineville'!E46+'Ochoco West Water &amp; Sanitary'!E46+'502 - Crook County Jail Bond'!E46</f>
        <v>0</v>
      </c>
      <c r="F46" s="167">
        <f>'101 - Crook County'!F46+'681SCH2013 - CC School Bond'!F46+'602 - Alfalfa Fire Dist'!F46+'610 - AG Extension Service'!F46+'616 - CC Historical Fund'!F46+'622 - High Desert ESD'!F46+'630 - Deschutes County #1 RFPD1'!F46+'631 - CCFR Taxing Zone 1'!F46+'635 - Hahlen Road District'!F46++'664 - CC PARKS &amp; REC DIST'!F46+'665 - Crook City Cemetary'!F46+'666 - Vector Control'!F46+'668 - JUN CAN Water Dist'!F46+'679 - PLA Unit I Road Dist'!F46+'680 - Crook Cty School Dist'!F46+'690 - COCC'!F46+'691 - COCC Bond'!F46+'692 - City of Prineville'!F46+'Ochoco West Water &amp; Sanitary'!F46+'502 - Crook County Jail Bond'!F46</f>
        <v>0</v>
      </c>
      <c r="G46" s="167">
        <f>'101 - Crook County'!G46+'681SCH2013 - CC School Bond'!G46+'602 - Alfalfa Fire Dist'!G46+'610 - AG Extension Service'!G46+'616 - CC Historical Fund'!G46+'622 - High Desert ESD'!G46+'630 - Deschutes County #1 RFPD1'!G46+'631 - CCFR Taxing Zone 1'!G46+'635 - Hahlen Road District'!G46++'664 - CC PARKS &amp; REC DIST'!G46+'665 - Crook City Cemetary'!G46+'666 - Vector Control'!G46+'668 - JUN CAN Water Dist'!G46+'679 - PLA Unit I Road Dist'!G46+'680 - Crook Cty School Dist'!G46+'690 - COCC'!G46+'691 - COCC Bond'!G46+'692 - City of Prineville'!G46+'Ochoco West Water &amp; Sanitary'!G46+'502 - Crook County Jail Bond'!G46</f>
        <v>0</v>
      </c>
      <c r="H46" s="167">
        <f>'101 - Crook County'!H46+'681SCH2013 - CC School Bond'!H46+'602 - Alfalfa Fire Dist'!H46+'610 - AG Extension Service'!H46+'616 - CC Historical Fund'!H46+'622 - High Desert ESD'!H46+'630 - Deschutes County #1 RFPD1'!H46+'631 - CCFR Taxing Zone 1'!H46+'635 - Hahlen Road District'!H46++'664 - CC PARKS &amp; REC DIST'!H46+'665 - Crook City Cemetary'!H46+'666 - Vector Control'!H46+'668 - JUN CAN Water Dist'!H46+'679 - PLA Unit I Road Dist'!H46+'680 - Crook Cty School Dist'!H46+'690 - COCC'!H46+'691 - COCC Bond'!H46+'692 - City of Prineville'!H46+'Ochoco West Water &amp; Sanitary'!H46+'502 - Crook County Jail Bond'!H46</f>
        <v>0</v>
      </c>
      <c r="I46" t="s">
        <v>184</v>
      </c>
      <c r="Q46" s="146"/>
    </row>
    <row r="47" spans="1:17" ht="15" x14ac:dyDescent="0.2">
      <c r="A47" s="2">
        <f>+A46+1</f>
        <v>27</v>
      </c>
      <c r="B47" s="21" t="s">
        <v>48</v>
      </c>
      <c r="C47" s="21"/>
      <c r="D47" s="167">
        <f>'101 - Crook County'!D47+'681SCH2013 - CC School Bond'!D47+'602 - Alfalfa Fire Dist'!D47+'610 - AG Extension Service'!D47+'616 - CC Historical Fund'!D47+'622 - High Desert ESD'!D47+'630 - Deschutes County #1 RFPD1'!D47+'631 - CCFR Taxing Zone 1'!D47+'635 - Hahlen Road District'!D47++'664 - CC PARKS &amp; REC DIST'!D47+'665 - Crook City Cemetary'!D47+'666 - Vector Control'!D47+'668 - JUN CAN Water Dist'!D47+'679 - PLA Unit I Road Dist'!D47+'680 - Crook Cty School Dist'!D47+'690 - COCC'!D47+'691 - COCC Bond'!D47+'692 - City of Prineville'!D47+'Ochoco West Water &amp; Sanitary'!D47+'502 - Crook County Jail Bond'!D47</f>
        <v>-169828.72999999998</v>
      </c>
      <c r="E47" s="167">
        <f>'101 - Crook County'!E47+'681SCH2013 - CC School Bond'!E47+'602 - Alfalfa Fire Dist'!E47+'610 - AG Extension Service'!E47+'616 - CC Historical Fund'!E47+'622 - High Desert ESD'!E47+'630 - Deschutes County #1 RFPD1'!E47+'631 - CCFR Taxing Zone 1'!E47+'635 - Hahlen Road District'!E47++'664 - CC PARKS &amp; REC DIST'!E47+'665 - Crook City Cemetary'!E47+'666 - Vector Control'!E47+'668 - JUN CAN Water Dist'!E47+'679 - PLA Unit I Road Dist'!E47+'680 - Crook Cty School Dist'!E47+'690 - COCC'!E47+'691 - COCC Bond'!E47+'692 - City of Prineville'!E47+'Ochoco West Water &amp; Sanitary'!E47+'502 - Crook County Jail Bond'!E47</f>
        <v>-57.94</v>
      </c>
      <c r="F47" s="167">
        <f>'101 - Crook County'!F47+'681SCH2013 - CC School Bond'!F47+'602 - Alfalfa Fire Dist'!F47+'610 - AG Extension Service'!F47+'616 - CC Historical Fund'!F47+'622 - High Desert ESD'!F47+'630 - Deschutes County #1 RFPD1'!F47+'631 - CCFR Taxing Zone 1'!F47+'635 - Hahlen Road District'!F47++'664 - CC PARKS &amp; REC DIST'!F47+'665 - Crook City Cemetary'!F47+'666 - Vector Control'!F47+'668 - JUN CAN Water Dist'!F47+'679 - PLA Unit I Road Dist'!F47+'680 - Crook Cty School Dist'!F47+'690 - COCC'!F47+'691 - COCC Bond'!F47+'692 - City of Prineville'!F47+'Ochoco West Water &amp; Sanitary'!F47+'502 - Crook County Jail Bond'!F47</f>
        <v>0</v>
      </c>
      <c r="G47" s="191"/>
      <c r="H47" s="167">
        <f>'101 - Crook County'!H47+'681SCH2013 - CC School Bond'!H47+'602 - Alfalfa Fire Dist'!H47+'610 - AG Extension Service'!H47+'616 - CC Historical Fund'!H47+'622 - High Desert ESD'!H47+'630 - Deschutes County #1 RFPD1'!H47+'631 - CCFR Taxing Zone 1'!H47+'635 - Hahlen Road District'!H47++'664 - CC PARKS &amp; REC DIST'!H47+'665 - Crook City Cemetary'!H47+'666 - Vector Control'!H47+'668 - JUN CAN Water Dist'!H47+'679 - PLA Unit I Road Dist'!H47+'680 - Crook Cty School Dist'!H47+'690 - COCC'!H47+'691 - COCC Bond'!H47+'692 - City of Prineville'!H47+'Ochoco West Water &amp; Sanitary'!H47+'502 - Crook County Jail Bond'!H47</f>
        <v>-169886.66999999998</v>
      </c>
      <c r="I47" t="s">
        <v>183</v>
      </c>
      <c r="Q47" s="146"/>
    </row>
    <row r="48" spans="1:17" ht="15.75" x14ac:dyDescent="0.25">
      <c r="A48" s="2">
        <f>+A47+1</f>
        <v>28</v>
      </c>
      <c r="B48" s="47" t="s">
        <v>49</v>
      </c>
      <c r="C48" s="47"/>
      <c r="D48" s="167">
        <f>'101 - Crook County'!D48+'681SCH2013 - CC School Bond'!D48+'602 - Alfalfa Fire Dist'!D48+'610 - AG Extension Service'!D48+'616 - CC Historical Fund'!D48+'622 - High Desert ESD'!D48+'630 - Deschutes County #1 RFPD1'!D48+'631 - CCFR Taxing Zone 1'!D48+'635 - Hahlen Road District'!D48++'664 - CC PARKS &amp; REC DIST'!D48+'665 - Crook City Cemetary'!D48+'666 - Vector Control'!D48+'668 - JUN CAN Water Dist'!D48+'679 - PLA Unit I Road Dist'!D48+'680 - Crook Cty School Dist'!D48+'690 - COCC'!D48+'691 - COCC Bond'!D48+'692 - City of Prineville'!D48+'Ochoco West Water &amp; Sanitary'!D48+'502 - Crook County Jail Bond'!D48</f>
        <v>29301431.530000001</v>
      </c>
      <c r="E48" s="167">
        <f>'101 - Crook County'!E48+'681SCH2013 - CC School Bond'!E48+'602 - Alfalfa Fire Dist'!E48+'610 - AG Extension Service'!E48+'616 - CC Historical Fund'!E48+'622 - High Desert ESD'!E48+'630 - Deschutes County #1 RFPD1'!E48+'631 - CCFR Taxing Zone 1'!E48+'635 - Hahlen Road District'!E48++'664 - CC PARKS &amp; REC DIST'!E48+'665 - Crook City Cemetary'!E48+'666 - Vector Control'!E48+'668 - JUN CAN Water Dist'!E48+'679 - PLA Unit I Road Dist'!E48+'680 - Crook Cty School Dist'!E48+'690 - COCC'!E48+'691 - COCC Bond'!E48+'692 - City of Prineville'!E48+'Ochoco West Water &amp; Sanitary'!E48+'502 - Crook County Jail Bond'!E48</f>
        <v>140039.78</v>
      </c>
      <c r="F48" s="167">
        <f>'101 - Crook County'!F48+'681SCH2013 - CC School Bond'!F48+'602 - Alfalfa Fire Dist'!F48+'610 - AG Extension Service'!F48+'616 - CC Historical Fund'!F48+'622 - High Desert ESD'!F48+'630 - Deschutes County #1 RFPD1'!F48+'631 - CCFR Taxing Zone 1'!F48+'635 - Hahlen Road District'!F48++'664 - CC PARKS &amp; REC DIST'!F48+'665 - Crook City Cemetary'!F48+'666 - Vector Control'!F48+'668 - JUN CAN Water Dist'!F48+'679 - PLA Unit I Road Dist'!F48+'680 - Crook Cty School Dist'!F48+'690 - COCC'!F48+'691 - COCC Bond'!F48+'692 - City of Prineville'!F48+'Ochoco West Water &amp; Sanitary'!F48+'502 - Crook County Jail Bond'!F48</f>
        <v>0</v>
      </c>
      <c r="G48" s="167">
        <f>'101 - Crook County'!G48+'681SCH2013 - CC School Bond'!G48+'602 - Alfalfa Fire Dist'!G48+'610 - AG Extension Service'!G48+'616 - CC Historical Fund'!G48+'622 - High Desert ESD'!G48+'630 - Deschutes County #1 RFPD1'!G48+'631 - CCFR Taxing Zone 1'!G48+'635 - Hahlen Road District'!G48++'664 - CC PARKS &amp; REC DIST'!G48+'665 - Crook City Cemetary'!G48+'666 - Vector Control'!G48+'668 - JUN CAN Water Dist'!G48+'679 - PLA Unit I Road Dist'!G48+'680 - Crook Cty School Dist'!G48+'690 - COCC'!G48+'691 - COCC Bond'!G48+'692 - City of Prineville'!G48+'Ochoco West Water &amp; Sanitary'!G48+'502 - Crook County Jail Bond'!G48</f>
        <v>2751752.72</v>
      </c>
      <c r="H48" s="167">
        <f>'101 - Crook County'!H48+'681SCH2013 - CC School Bond'!H48+'602 - Alfalfa Fire Dist'!H48+'610 - AG Extension Service'!H48+'616 - CC Historical Fund'!H48+'622 - High Desert ESD'!H48+'630 - Deschutes County #1 RFPD1'!H48+'631 - CCFR Taxing Zone 1'!H48+'635 - Hahlen Road District'!H48++'664 - CC PARKS &amp; REC DIST'!H48+'665 - Crook City Cemetary'!H48+'666 - Vector Control'!H48+'668 - JUN CAN Water Dist'!H48+'679 - PLA Unit I Road Dist'!H48+'680 - Crook Cty School Dist'!H48+'690 - COCC'!H48+'691 - COCC Bond'!H48+'692 - City of Prineville'!H48+'Ochoco West Water &amp; Sanitary'!H48+'502 - Crook County Jail Bond'!H48</f>
        <v>32193224.030000001</v>
      </c>
      <c r="I48" t="s">
        <v>172</v>
      </c>
      <c r="Q48" s="146"/>
    </row>
    <row r="49" spans="1:17" ht="15" x14ac:dyDescent="0.2">
      <c r="A49" s="2"/>
      <c r="B49" s="21"/>
      <c r="C49" s="21"/>
      <c r="D49" s="182"/>
      <c r="E49" s="182"/>
      <c r="F49" s="182"/>
      <c r="G49" s="182"/>
      <c r="H49" s="182"/>
      <c r="Q49" s="146"/>
    </row>
    <row r="50" spans="1:17" ht="16.5" thickBot="1" x14ac:dyDescent="0.3">
      <c r="A50" s="2"/>
      <c r="B50" s="29" t="s">
        <v>50</v>
      </c>
      <c r="C50" s="29"/>
      <c r="D50" s="182"/>
      <c r="E50" s="182"/>
      <c r="F50" s="182"/>
      <c r="G50" s="182"/>
      <c r="H50" s="182"/>
      <c r="Q50" s="146"/>
    </row>
    <row r="51" spans="1:17" ht="15.75" thickTop="1" x14ac:dyDescent="0.2">
      <c r="A51" s="2">
        <f>+A48+1</f>
        <v>29</v>
      </c>
      <c r="B51" s="21" t="s">
        <v>51</v>
      </c>
      <c r="C51" s="21"/>
      <c r="D51" s="193"/>
      <c r="E51" s="184"/>
      <c r="F51" s="194"/>
      <c r="G51" s="167">
        <f>'101 - Crook County'!G51+'681SCH2013 - CC School Bond'!G51+'602 - Alfalfa Fire Dist'!G51+'610 - AG Extension Service'!G51+'616 - CC Historical Fund'!G51+'622 - High Desert ESD'!G51+'630 - Deschutes County #1 RFPD1'!G51+'631 - CCFR Taxing Zone 1'!G51+'635 - Hahlen Road District'!G51++'664 - CC PARKS &amp; REC DIST'!G51+'665 - Crook City Cemetary'!G51+'666 - Vector Control'!G51+'668 - JUN CAN Water Dist'!G51+'679 - PLA Unit I Road Dist'!G51+'680 - Crook Cty School Dist'!G51+'690 - COCC'!G51+'691 - COCC Bond'!G51+'692 - City of Prineville'!G51+'Ochoco West Water &amp; Sanitary'!G51+'502 - Crook County Jail Bond'!G51</f>
        <v>50702.020000000004</v>
      </c>
      <c r="H51" s="167">
        <f>'101 - Crook County'!H51+'681SCH2013 - CC School Bond'!H51+'602 - Alfalfa Fire Dist'!H51+'610 - AG Extension Service'!H51+'616 - CC Historical Fund'!H51+'622 - High Desert ESD'!H51+'630 - Deschutes County #1 RFPD1'!H51+'631 - CCFR Taxing Zone 1'!H51+'635 - Hahlen Road District'!H51++'664 - CC PARKS &amp; REC DIST'!H51+'665 - Crook City Cemetary'!H51+'666 - Vector Control'!H51+'668 - JUN CAN Water Dist'!H51+'679 - PLA Unit I Road Dist'!H51+'680 - Crook Cty School Dist'!H51+'690 - COCC'!H51+'691 - COCC Bond'!H51+'692 - City of Prineville'!H51+'Ochoco West Water &amp; Sanitary'!H51+'502 - Crook County Jail Bond'!H51</f>
        <v>50702.020000000004</v>
      </c>
      <c r="I51" s="145" t="s">
        <v>149</v>
      </c>
      <c r="Q51" s="146"/>
    </row>
    <row r="52" spans="1:17" ht="15" x14ac:dyDescent="0.2">
      <c r="A52" s="2">
        <f t="shared" ref="A52:A60" si="1">+A51+1</f>
        <v>30</v>
      </c>
      <c r="B52" s="21" t="s">
        <v>52</v>
      </c>
      <c r="C52" s="21"/>
      <c r="D52" s="195"/>
      <c r="E52" s="186"/>
      <c r="F52" s="177"/>
      <c r="G52" s="167">
        <f>'101 - Crook County'!G52+'681SCH2013 - CC School Bond'!G52+'602 - Alfalfa Fire Dist'!G52+'610 - AG Extension Service'!G52+'616 - CC Historical Fund'!G52+'622 - High Desert ESD'!G52+'630 - Deschutes County #1 RFPD1'!G52+'631 - CCFR Taxing Zone 1'!G52+'635 - Hahlen Road District'!G52++'664 - CC PARKS &amp; REC DIST'!G52+'665 - Crook City Cemetary'!G52+'666 - Vector Control'!G52+'668 - JUN CAN Water Dist'!G52+'679 - PLA Unit I Road Dist'!G52+'680 - Crook Cty School Dist'!G52+'690 - COCC'!G52+'691 - COCC Bond'!G52+'692 - City of Prineville'!G52+'Ochoco West Water &amp; Sanitary'!G52+'502 - Crook County Jail Bond'!G52</f>
        <v>0</v>
      </c>
      <c r="H52" s="167">
        <f>'101 - Crook County'!H52+'681SCH2013 - CC School Bond'!H52+'602 - Alfalfa Fire Dist'!H52+'610 - AG Extension Service'!H52+'616 - CC Historical Fund'!H52+'622 - High Desert ESD'!H52+'630 - Deschutes County #1 RFPD1'!H52+'631 - CCFR Taxing Zone 1'!H52+'635 - Hahlen Road District'!H52++'664 - CC PARKS &amp; REC DIST'!H52+'665 - Crook City Cemetary'!H52+'666 - Vector Control'!H52+'668 - JUN CAN Water Dist'!H52+'679 - PLA Unit I Road Dist'!H52+'680 - Crook Cty School Dist'!H52+'690 - COCC'!H52+'691 - COCC Bond'!H52+'692 - City of Prineville'!H52+'Ochoco West Water &amp; Sanitary'!H52+'502 - Crook County Jail Bond'!H52</f>
        <v>0</v>
      </c>
      <c r="I52" s="145" t="s">
        <v>148</v>
      </c>
      <c r="Q52" s="146"/>
    </row>
    <row r="53" spans="1:17" ht="15" x14ac:dyDescent="0.2">
      <c r="A53" s="2">
        <f t="shared" si="1"/>
        <v>31</v>
      </c>
      <c r="B53" s="21" t="s">
        <v>53</v>
      </c>
      <c r="C53" s="21"/>
      <c r="D53" s="195"/>
      <c r="E53" s="186"/>
      <c r="F53" s="177"/>
      <c r="G53" s="167">
        <f>'101 - Crook County'!G53+'681SCH2013 - CC School Bond'!G53+'602 - Alfalfa Fire Dist'!G53+'610 - AG Extension Service'!G53+'616 - CC Historical Fund'!G53+'622 - High Desert ESD'!G53+'630 - Deschutes County #1 RFPD1'!G53+'631 - CCFR Taxing Zone 1'!G53+'635 - Hahlen Road District'!G53++'664 - CC PARKS &amp; REC DIST'!G53+'665 - Crook City Cemetary'!G53+'666 - Vector Control'!G53+'668 - JUN CAN Water Dist'!G53+'679 - PLA Unit I Road Dist'!G53+'680 - Crook Cty School Dist'!G53+'690 - COCC'!G53+'691 - COCC Bond'!G53+'692 - City of Prineville'!G53+'Ochoco West Water &amp; Sanitary'!G53+'502 - Crook County Jail Bond'!G53</f>
        <v>0</v>
      </c>
      <c r="H53" s="167">
        <f>'101 - Crook County'!H53+'681SCH2013 - CC School Bond'!H53+'602 - Alfalfa Fire Dist'!H53+'610 - AG Extension Service'!H53+'616 - CC Historical Fund'!H53+'622 - High Desert ESD'!H53+'630 - Deschutes County #1 RFPD1'!H53+'631 - CCFR Taxing Zone 1'!H53+'635 - Hahlen Road District'!H53++'664 - CC PARKS &amp; REC DIST'!H53+'665 - Crook City Cemetary'!H53+'666 - Vector Control'!H53+'668 - JUN CAN Water Dist'!H53+'679 - PLA Unit I Road Dist'!H53+'680 - Crook Cty School Dist'!H53+'690 - COCC'!H53+'691 - COCC Bond'!H53+'692 - City of Prineville'!H53+'Ochoco West Water &amp; Sanitary'!H53+'502 - Crook County Jail Bond'!H53</f>
        <v>0</v>
      </c>
      <c r="I53" s="145"/>
      <c r="Q53" s="146"/>
    </row>
    <row r="54" spans="1:17" ht="15" x14ac:dyDescent="0.2">
      <c r="A54" s="2">
        <f t="shared" si="1"/>
        <v>32</v>
      </c>
      <c r="B54" s="21" t="s">
        <v>54</v>
      </c>
      <c r="C54" s="21"/>
      <c r="D54" s="195"/>
      <c r="E54" s="186"/>
      <c r="F54" s="177"/>
      <c r="G54" s="167">
        <f>'101 - Crook County'!G54+'681SCH2013 - CC School Bond'!G54+'602 - Alfalfa Fire Dist'!G54+'610 - AG Extension Service'!G54+'616 - CC Historical Fund'!G54+'622 - High Desert ESD'!G54+'630 - Deschutes County #1 RFPD1'!G54+'631 - CCFR Taxing Zone 1'!G54+'635 - Hahlen Road District'!G54++'664 - CC PARKS &amp; REC DIST'!G54+'665 - Crook City Cemetary'!G54+'666 - Vector Control'!G54+'668 - JUN CAN Water Dist'!G54+'679 - PLA Unit I Road Dist'!G54+'680 - Crook Cty School Dist'!G54+'690 - COCC'!G54+'691 - COCC Bond'!G54+'692 - City of Prineville'!G54+'Ochoco West Water &amp; Sanitary'!G54+'502 - Crook County Jail Bond'!G54</f>
        <v>0</v>
      </c>
      <c r="H54" s="167">
        <f>'101 - Crook County'!H54+'681SCH2013 - CC School Bond'!H54+'602 - Alfalfa Fire Dist'!H54+'610 - AG Extension Service'!H54+'616 - CC Historical Fund'!H54+'622 - High Desert ESD'!H54+'630 - Deschutes County #1 RFPD1'!H54+'631 - CCFR Taxing Zone 1'!H54+'635 - Hahlen Road District'!H54++'664 - CC PARKS &amp; REC DIST'!H54+'665 - Crook City Cemetary'!H54+'666 - Vector Control'!H54+'668 - JUN CAN Water Dist'!H54+'679 - PLA Unit I Road Dist'!H54+'680 - Crook Cty School Dist'!H54+'690 - COCC'!H54+'691 - COCC Bond'!H54+'692 - City of Prineville'!H54+'Ochoco West Water &amp; Sanitary'!H54+'502 - Crook County Jail Bond'!H54</f>
        <v>0</v>
      </c>
      <c r="I54" s="145"/>
      <c r="Q54" s="146"/>
    </row>
    <row r="55" spans="1:17" ht="15" x14ac:dyDescent="0.2">
      <c r="A55" s="2">
        <f t="shared" si="1"/>
        <v>33</v>
      </c>
      <c r="B55" s="33" t="s">
        <v>265</v>
      </c>
      <c r="C55" s="21"/>
      <c r="D55" s="195"/>
      <c r="E55" s="186"/>
      <c r="F55" s="177"/>
      <c r="G55" s="167">
        <f>'101 - Crook County'!G55+'681SCH2013 - CC School Bond'!G55+'602 - Alfalfa Fire Dist'!G55+'610 - AG Extension Service'!G55+'616 - CC Historical Fund'!G55+'622 - High Desert ESD'!G55+'630 - Deschutes County #1 RFPD1'!G55+'631 - CCFR Taxing Zone 1'!G55+'635 - Hahlen Road District'!G55++'664 - CC PARKS &amp; REC DIST'!G55+'665 - Crook City Cemetary'!G55+'666 - Vector Control'!G55+'668 - JUN CAN Water Dist'!G55+'679 - PLA Unit I Road Dist'!G55+'680 - Crook Cty School Dist'!G55+'690 - COCC'!G55+'691 - COCC Bond'!G55+'692 - City of Prineville'!G55+'Ochoco West Water &amp; Sanitary'!G55+'502 - Crook County Jail Bond'!G55</f>
        <v>0</v>
      </c>
      <c r="H55" s="167">
        <f>'101 - Crook County'!H55+'681SCH2013 - CC School Bond'!H55+'602 - Alfalfa Fire Dist'!H55+'610 - AG Extension Service'!H55+'616 - CC Historical Fund'!H55+'622 - High Desert ESD'!H55+'630 - Deschutes County #1 RFPD1'!H55+'631 - CCFR Taxing Zone 1'!H55+'635 - Hahlen Road District'!H55++'664 - CC PARKS &amp; REC DIST'!H55+'665 - Crook City Cemetary'!H55+'666 - Vector Control'!H55+'668 - JUN CAN Water Dist'!H55+'679 - PLA Unit I Road Dist'!H55+'680 - Crook Cty School Dist'!H55+'690 - COCC'!H55+'691 - COCC Bond'!H55+'692 - City of Prineville'!H55+'Ochoco West Water &amp; Sanitary'!H55+'502 - Crook County Jail Bond'!H55</f>
        <v>0</v>
      </c>
      <c r="I55" s="145"/>
      <c r="Q55" s="146"/>
    </row>
    <row r="56" spans="1:17" ht="15" x14ac:dyDescent="0.2">
      <c r="A56" s="2">
        <f t="shared" si="1"/>
        <v>34</v>
      </c>
      <c r="B56" s="21" t="s">
        <v>55</v>
      </c>
      <c r="C56" s="21"/>
      <c r="D56" s="195"/>
      <c r="E56" s="186"/>
      <c r="F56" s="177"/>
      <c r="G56" s="167">
        <f>'101 - Crook County'!G56+'681SCH2013 - CC School Bond'!G56+'602 - Alfalfa Fire Dist'!G56+'610 - AG Extension Service'!G56+'616 - CC Historical Fund'!G56+'622 - High Desert ESD'!G56+'630 - Deschutes County #1 RFPD1'!G56+'631 - CCFR Taxing Zone 1'!G56+'635 - Hahlen Road District'!G56++'664 - CC PARKS &amp; REC DIST'!G56+'665 - Crook City Cemetary'!G56+'666 - Vector Control'!G56+'668 - JUN CAN Water Dist'!G56+'679 - PLA Unit I Road Dist'!G56+'680 - Crook Cty School Dist'!G56+'690 - COCC'!G56+'691 - COCC Bond'!G56+'692 - City of Prineville'!G56+'Ochoco West Water &amp; Sanitary'!G56+'502 - Crook County Jail Bond'!G56</f>
        <v>0</v>
      </c>
      <c r="H56" s="167">
        <f>'101 - Crook County'!H56+'681SCH2013 - CC School Bond'!H56+'602 - Alfalfa Fire Dist'!H56+'610 - AG Extension Service'!H56+'616 - CC Historical Fund'!H56+'622 - High Desert ESD'!H56+'630 - Deschutes County #1 RFPD1'!H56+'631 - CCFR Taxing Zone 1'!H56+'635 - Hahlen Road District'!H56++'664 - CC PARKS &amp; REC DIST'!H56+'665 - Crook City Cemetary'!H56+'666 - Vector Control'!H56+'668 - JUN CAN Water Dist'!H56+'679 - PLA Unit I Road Dist'!H56+'680 - Crook Cty School Dist'!H56+'690 - COCC'!H56+'691 - COCC Bond'!H56+'692 - City of Prineville'!H56+'Ochoco West Water &amp; Sanitary'!H56+'502 - Crook County Jail Bond'!H56</f>
        <v>0</v>
      </c>
      <c r="I56" s="145" t="s">
        <v>203</v>
      </c>
      <c r="Q56" s="146"/>
    </row>
    <row r="57" spans="1:17" ht="15" x14ac:dyDescent="0.2">
      <c r="A57" s="2">
        <f t="shared" si="1"/>
        <v>35</v>
      </c>
      <c r="B57" s="21" t="s">
        <v>56</v>
      </c>
      <c r="C57" s="21"/>
      <c r="D57" s="195"/>
      <c r="E57" s="186"/>
      <c r="F57" s="177"/>
      <c r="G57" s="167">
        <f>'101 - Crook County'!G57+'681SCH2013 - CC School Bond'!G57+'602 - Alfalfa Fire Dist'!G57+'610 - AG Extension Service'!G57+'616 - CC Historical Fund'!G57+'622 - High Desert ESD'!G57+'630 - Deschutes County #1 RFPD1'!G57+'631 - CCFR Taxing Zone 1'!G57+'635 - Hahlen Road District'!G57++'664 - CC PARKS &amp; REC DIST'!G57+'665 - Crook City Cemetary'!G57+'666 - Vector Control'!G57+'668 - JUN CAN Water Dist'!G57+'679 - PLA Unit I Road Dist'!G57+'680 - Crook Cty School Dist'!G57+'690 - COCC'!G57+'691 - COCC Bond'!G57+'692 - City of Prineville'!G57+'Ochoco West Water &amp; Sanitary'!G57+'502 - Crook County Jail Bond'!G57</f>
        <v>0</v>
      </c>
      <c r="H57" s="167">
        <f>'101 - Crook County'!H57+'681SCH2013 - CC School Bond'!H57+'602 - Alfalfa Fire Dist'!H57+'610 - AG Extension Service'!H57+'616 - CC Historical Fund'!H57+'622 - High Desert ESD'!H57+'630 - Deschutes County #1 RFPD1'!H57+'631 - CCFR Taxing Zone 1'!H57+'635 - Hahlen Road District'!H57++'664 - CC PARKS &amp; REC DIST'!H57+'665 - Crook City Cemetary'!H57+'666 - Vector Control'!H57+'668 - JUN CAN Water Dist'!H57+'679 - PLA Unit I Road Dist'!H57+'680 - Crook Cty School Dist'!H57+'690 - COCC'!H57+'691 - COCC Bond'!H57+'692 - City of Prineville'!H57+'Ochoco West Water &amp; Sanitary'!H57+'502 - Crook County Jail Bond'!H57</f>
        <v>0</v>
      </c>
      <c r="I57" s="145" t="s">
        <v>204</v>
      </c>
      <c r="Q57" s="146"/>
    </row>
    <row r="58" spans="1:17" ht="15" x14ac:dyDescent="0.2">
      <c r="A58" s="2">
        <f t="shared" si="1"/>
        <v>36</v>
      </c>
      <c r="B58" s="21" t="s">
        <v>57</v>
      </c>
      <c r="C58" s="21"/>
      <c r="D58" s="195"/>
      <c r="E58" s="186"/>
      <c r="F58" s="177"/>
      <c r="G58" s="167">
        <f>'101 - Crook County'!G58+'681SCH2013 - CC School Bond'!G58+'602 - Alfalfa Fire Dist'!G58+'610 - AG Extension Service'!G58+'616 - CC Historical Fund'!G58+'622 - High Desert ESD'!G58+'630 - Deschutes County #1 RFPD1'!G58+'631 - CCFR Taxing Zone 1'!G58+'635 - Hahlen Road District'!G58++'664 - CC PARKS &amp; REC DIST'!G58+'665 - Crook City Cemetary'!G58+'666 - Vector Control'!G58+'668 - JUN CAN Water Dist'!G58+'679 - PLA Unit I Road Dist'!G58+'680 - Crook Cty School Dist'!G58+'690 - COCC'!G58+'691 - COCC Bond'!G58+'692 - City of Prineville'!G58+'Ochoco West Water &amp; Sanitary'!G58+'502 - Crook County Jail Bond'!G58</f>
        <v>22681.15</v>
      </c>
      <c r="H58" s="167">
        <f>'101 - Crook County'!H58+'681SCH2013 - CC School Bond'!H58+'602 - Alfalfa Fire Dist'!H58+'610 - AG Extension Service'!H58+'616 - CC Historical Fund'!H58+'622 - High Desert ESD'!H58+'630 - Deschutes County #1 RFPD1'!H58+'631 - CCFR Taxing Zone 1'!H58+'635 - Hahlen Road District'!H58++'664 - CC PARKS &amp; REC DIST'!H58+'665 - Crook City Cemetary'!H58+'666 - Vector Control'!H58+'668 - JUN CAN Water Dist'!H58+'679 - PLA Unit I Road Dist'!H58+'680 - Crook Cty School Dist'!H58+'690 - COCC'!H58+'691 - COCC Bond'!H58+'692 - City of Prineville'!H58+'Ochoco West Water &amp; Sanitary'!H58+'502 - Crook County Jail Bond'!H58</f>
        <v>22681.15</v>
      </c>
      <c r="I58" s="145" t="s">
        <v>147</v>
      </c>
      <c r="Q58" s="146"/>
    </row>
    <row r="59" spans="1:17" ht="60" x14ac:dyDescent="0.2">
      <c r="A59" s="97">
        <f t="shared" si="1"/>
        <v>37</v>
      </c>
      <c r="B59" s="98" t="s">
        <v>58</v>
      </c>
      <c r="C59" s="99"/>
      <c r="D59" s="196"/>
      <c r="E59" s="197"/>
      <c r="F59" s="198"/>
      <c r="G59" s="167">
        <f>'101 - Crook County'!G59+'681SCH2013 - CC School Bond'!G59+'602 - Alfalfa Fire Dist'!G59+'610 - AG Extension Service'!G59+'616 - CC Historical Fund'!G59+'622 - High Desert ESD'!G59+'630 - Deschutes County #1 RFPD1'!G59+'631 - CCFR Taxing Zone 1'!G59+'635 - Hahlen Road District'!G59++'664 - CC PARKS &amp; REC DIST'!G59+'665 - Crook City Cemetary'!G59+'666 - Vector Control'!G59+'668 - JUN CAN Water Dist'!G59+'679 - PLA Unit I Road Dist'!G59+'680 - Crook Cty School Dist'!G59+'690 - COCC'!G59+'691 - COCC Bond'!G59+'692 - City of Prineville'!G59+'Ochoco West Water &amp; Sanitary'!G59+'502 - Crook County Jail Bond'!G59</f>
        <v>37391.81</v>
      </c>
      <c r="H59" s="167">
        <f>'101 - Crook County'!H59+'681SCH2013 - CC School Bond'!H59+'602 - Alfalfa Fire Dist'!H59+'610 - AG Extension Service'!H59+'616 - CC Historical Fund'!H59+'622 - High Desert ESD'!H59+'630 - Deschutes County #1 RFPD1'!H59+'631 - CCFR Taxing Zone 1'!H59+'635 - Hahlen Road District'!H59++'664 - CC PARKS &amp; REC DIST'!H59+'665 - Crook City Cemetary'!H59+'666 - Vector Control'!H59+'668 - JUN CAN Water Dist'!H59+'679 - PLA Unit I Road Dist'!H59+'680 - Crook Cty School Dist'!H59+'690 - COCC'!H59+'691 - COCC Bond'!H59+'692 - City of Prineville'!H59+'Ochoco West Water &amp; Sanitary'!H59+'502 - Crook County Jail Bond'!H59</f>
        <v>37391.81</v>
      </c>
      <c r="I59" s="145" t="s">
        <v>146</v>
      </c>
      <c r="Q59" s="146"/>
    </row>
    <row r="60" spans="1:17" ht="16.5" thickBot="1" x14ac:dyDescent="0.3">
      <c r="A60" s="2">
        <f t="shared" si="1"/>
        <v>38</v>
      </c>
      <c r="B60" s="47" t="s">
        <v>59</v>
      </c>
      <c r="C60" s="47"/>
      <c r="D60" s="199"/>
      <c r="E60" s="179"/>
      <c r="F60" s="200"/>
      <c r="G60" s="167">
        <f>'101 - Crook County'!G60+'681SCH2013 - CC School Bond'!G60+'602 - Alfalfa Fire Dist'!G60+'610 - AG Extension Service'!G60+'616 - CC Historical Fund'!G60+'622 - High Desert ESD'!G60+'630 - Deschutes County #1 RFPD1'!G60+'631 - CCFR Taxing Zone 1'!G60+'635 - Hahlen Road District'!G60++'664 - CC PARKS &amp; REC DIST'!G60+'665 - Crook City Cemetary'!G60+'666 - Vector Control'!G60+'668 - JUN CAN Water Dist'!G60+'679 - PLA Unit I Road Dist'!G60+'680 - Crook Cty School Dist'!G60+'690 - COCC'!G60+'691 - COCC Bond'!G60+'692 - City of Prineville'!G60+'Ochoco West Water &amp; Sanitary'!G60+'502 - Crook County Jail Bond'!G60</f>
        <v>110774.98000000001</v>
      </c>
      <c r="H60" s="167">
        <f>'101 - Crook County'!H60+'681SCH2013 - CC School Bond'!H60+'602 - Alfalfa Fire Dist'!H60+'610 - AG Extension Service'!H60+'616 - CC Historical Fund'!H60+'622 - High Desert ESD'!H60+'630 - Deschutes County #1 RFPD1'!H60+'631 - CCFR Taxing Zone 1'!H60+'635 - Hahlen Road District'!H60++'664 - CC PARKS &amp; REC DIST'!H60+'665 - Crook City Cemetary'!H60+'666 - Vector Control'!H60+'668 - JUN CAN Water Dist'!H60+'679 - PLA Unit I Road Dist'!H60+'680 - Crook Cty School Dist'!H60+'690 - COCC'!H60+'691 - COCC Bond'!H60+'692 - City of Prineville'!H60+'Ochoco West Water &amp; Sanitary'!H60+'502 - Crook County Jail Bond'!H60</f>
        <v>110774.98000000001</v>
      </c>
      <c r="Q60" s="146"/>
    </row>
    <row r="61" spans="1:17" ht="15.75" thickTop="1" x14ac:dyDescent="0.2">
      <c r="A61" s="2"/>
      <c r="B61" s="21"/>
      <c r="C61" s="21"/>
      <c r="D61" s="182"/>
      <c r="E61" s="182"/>
      <c r="F61" s="182"/>
      <c r="G61" s="167">
        <f>'101 - Crook County'!G61+'681SCH2013 - CC School Bond'!G61+'602 - Alfalfa Fire Dist'!G61+'610 - AG Extension Service'!G61+'616 - CC Historical Fund'!G61+'622 - High Desert ESD'!G61+'630 - Deschutes County #1 RFPD1'!G61+'631 - CCFR Taxing Zone 1'!G61+'635 - Hahlen Road District'!G61++'664 - CC PARKS &amp; REC DIST'!G61+'665 - Crook City Cemetary'!G61+'666 - Vector Control'!G61+'668 - JUN CAN Water Dist'!G61+'679 - PLA Unit I Road Dist'!G61+'680 - Crook Cty School Dist'!G61+'690 - COCC'!G61+'691 - COCC Bond'!G61+'692 - City of Prineville'!G61+'Ochoco West Water &amp; Sanitary'!G61+'502 - Crook County Jail Bond'!G61</f>
        <v>0</v>
      </c>
      <c r="H61" s="167">
        <f>'101 - Crook County'!H61+'681SCH2013 - CC School Bond'!H61+'602 - Alfalfa Fire Dist'!H61+'610 - AG Extension Service'!H61+'616 - CC Historical Fund'!H61+'622 - High Desert ESD'!H61+'630 - Deschutes County #1 RFPD1'!H61+'631 - CCFR Taxing Zone 1'!H61+'635 - Hahlen Road District'!H61++'664 - CC PARKS &amp; REC DIST'!H61+'665 - Crook City Cemetary'!H61+'666 - Vector Control'!H61+'668 - JUN CAN Water Dist'!H61+'679 - PLA Unit I Road Dist'!H61+'680 - Crook Cty School Dist'!H61+'690 - COCC'!H61+'691 - COCC Bond'!H61+'692 - City of Prineville'!H61+'Ochoco West Water &amp; Sanitary'!H61+'502 - Crook County Jail Bond'!H61</f>
        <v>0</v>
      </c>
      <c r="Q61" s="146"/>
    </row>
    <row r="62" spans="1:17" ht="16.5" thickBot="1" x14ac:dyDescent="0.3">
      <c r="A62" s="2">
        <f>+A60+1</f>
        <v>39</v>
      </c>
      <c r="B62" s="47" t="s">
        <v>60</v>
      </c>
      <c r="C62" s="47"/>
      <c r="D62" s="167">
        <f>'101 - Crook County'!D62+'681SCH2013 - CC School Bond'!D62+'602 - Alfalfa Fire Dist'!D62+'610 - AG Extension Service'!D62+'616 - CC Historical Fund'!D62+'622 - High Desert ESD'!D62+'630 - Deschutes County #1 RFPD1'!D62+'631 - CCFR Taxing Zone 1'!D62+'635 - Hahlen Road District'!D62++'664 - CC PARKS &amp; REC DIST'!D62+'665 - Crook City Cemetary'!D62+'666 - Vector Control'!D62+'668 - JUN CAN Water Dist'!D62+'679 - PLA Unit I Road Dist'!D62+'680 - Crook Cty School Dist'!D62+'690 - COCC'!D62+'691 - COCC Bond'!D62+'692 - City of Prineville'!D62+'Ochoco West Water &amp; Sanitary'!D62+'502 - Crook County Jail Bond'!D62</f>
        <v>29301431.530000001</v>
      </c>
      <c r="E62" s="167">
        <f>'101 - Crook County'!E62+'681SCH2013 - CC School Bond'!E62+'602 - Alfalfa Fire Dist'!E62+'610 - AG Extension Service'!E62+'616 - CC Historical Fund'!E62+'622 - High Desert ESD'!E62+'630 - Deschutes County #1 RFPD1'!E62+'631 - CCFR Taxing Zone 1'!E62+'635 - Hahlen Road District'!E62++'664 - CC PARKS &amp; REC DIST'!E62+'665 - Crook City Cemetary'!E62+'666 - Vector Control'!E62+'668 - JUN CAN Water Dist'!E62+'679 - PLA Unit I Road Dist'!E62+'680 - Crook Cty School Dist'!E62+'690 - COCC'!E62+'691 - COCC Bond'!E62+'692 - City of Prineville'!E62+'Ochoco West Water &amp; Sanitary'!E62+'502 - Crook County Jail Bond'!E62</f>
        <v>140039.78</v>
      </c>
      <c r="F62" s="167">
        <f>'101 - Crook County'!F62+'681SCH2013 - CC School Bond'!F62+'602 - Alfalfa Fire Dist'!F62+'610 - AG Extension Service'!F62+'616 - CC Historical Fund'!F62+'622 - High Desert ESD'!F62+'630 - Deschutes County #1 RFPD1'!F62+'631 - CCFR Taxing Zone 1'!F62+'635 - Hahlen Road District'!F62++'664 - CC PARKS &amp; REC DIST'!F62+'665 - Crook City Cemetary'!F62+'666 - Vector Control'!F62+'668 - JUN CAN Water Dist'!F62+'679 - PLA Unit I Road Dist'!F62+'680 - Crook Cty School Dist'!F62+'690 - COCC'!F62+'691 - COCC Bond'!F62+'692 - City of Prineville'!F62+'Ochoco West Water &amp; Sanitary'!F62+'502 - Crook County Jail Bond'!F62</f>
        <v>0</v>
      </c>
      <c r="G62" s="167">
        <f>'101 - Crook County'!G62+'681SCH2013 - CC School Bond'!G62+'602 - Alfalfa Fire Dist'!G62+'610 - AG Extension Service'!G62+'616 - CC Historical Fund'!G62+'622 - High Desert ESD'!G62+'630 - Deschutes County #1 RFPD1'!G62+'631 - CCFR Taxing Zone 1'!G62+'635 - Hahlen Road District'!G62++'664 - CC PARKS &amp; REC DIST'!G62+'665 - Crook City Cemetary'!G62+'666 - Vector Control'!G62+'668 - JUN CAN Water Dist'!G62+'679 - PLA Unit I Road Dist'!G62+'680 - Crook Cty School Dist'!G62+'690 - COCC'!G62+'691 - COCC Bond'!G62+'692 - City of Prineville'!G62+'Ochoco West Water &amp; Sanitary'!G62+'502 - Crook County Jail Bond'!G62</f>
        <v>2862527.7</v>
      </c>
      <c r="H62" s="167">
        <f>'101 - Crook County'!H62+'681SCH2013 - CC School Bond'!H62+'602 - Alfalfa Fire Dist'!H62+'610 - AG Extension Service'!H62+'616 - CC Historical Fund'!H62+'622 - High Desert ESD'!H62+'630 - Deschutes County #1 RFPD1'!H62+'631 - CCFR Taxing Zone 1'!H62+'635 - Hahlen Road District'!H62++'664 - CC PARKS &amp; REC DIST'!H62+'665 - Crook City Cemetary'!H62+'666 - Vector Control'!H62+'668 - JUN CAN Water Dist'!H62+'679 - PLA Unit I Road Dist'!H62+'680 - Crook Cty School Dist'!H62+'690 - COCC'!H62+'691 - COCC Bond'!H62+'692 - City of Prineville'!H62+'Ochoco West Water &amp; Sanitary'!H62+'502 - Crook County Jail Bond'!H62</f>
        <v>32303999.010000002</v>
      </c>
      <c r="I62" t="s">
        <v>172</v>
      </c>
      <c r="Q62" s="146"/>
    </row>
    <row r="63" spans="1:17" ht="16.5" thickTop="1" thickBot="1" x14ac:dyDescent="0.25">
      <c r="A63" s="2">
        <f>+A62+1</f>
        <v>40</v>
      </c>
      <c r="B63" s="110" t="s">
        <v>61</v>
      </c>
      <c r="C63" s="110"/>
      <c r="D63" s="111"/>
      <c r="E63" s="112"/>
      <c r="F63" s="112"/>
      <c r="G63" s="112"/>
      <c r="H63" s="267">
        <f>'101 - Crook County'!H63+'681SCH2013 - CC School Bond'!H63+'602 - Alfalfa Fire Dist'!H63+'610 - AG Extension Service'!H63+'616 - CC Historical Fund'!H63+'622 - High Desert ESD'!H63+'630 - Deschutes County #1 RFPD1'!H63+'631 - CCFR Taxing Zone 1'!H63+'635 - Hahlen Road District'!H63++'664 - CC PARKS &amp; REC DIST'!H63+'665 - Crook City Cemetary'!H63+'666 - Vector Control'!H63+'668 - JUN CAN Water Dist'!H63+'679 - PLA Unit I Road Dist'!H63+'680 - Crook Cty School Dist'!H63+'690 - COCC'!H63+'691 - COCC Bond'!H63+'692 - City of Prineville'!H63+'Ochoco West Water &amp; Sanitary'!H63+'502 - Crook County Jail Bond'!H63</f>
        <v>0.98965004499999987</v>
      </c>
      <c r="Q63" s="146"/>
    </row>
    <row r="64" spans="1:17"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5" right="0.75" top="1" bottom="1" header="0.5" footer="0.5"/>
  <pageSetup scale="43"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workbookViewId="0">
      <selection activeCell="E35" sqref="E35"/>
    </sheetView>
  </sheetViews>
  <sheetFormatPr defaultRowHeight="12.75" x14ac:dyDescent="0.2"/>
  <cols>
    <col min="1" max="1" width="9.140625" style="151"/>
    <col min="2" max="2" width="34.140625" style="151" customWidth="1"/>
    <col min="3" max="3" width="13.85546875" style="152" bestFit="1" customWidth="1"/>
    <col min="4" max="4" width="15.5703125" style="152" customWidth="1"/>
    <col min="5" max="5" width="14.140625" style="151" customWidth="1"/>
    <col min="6" max="6" width="24.5703125" style="151" customWidth="1"/>
    <col min="7" max="7" width="11.7109375" style="152" bestFit="1" customWidth="1"/>
    <col min="8" max="8" width="15.42578125" style="151" customWidth="1"/>
    <col min="9" max="9" width="18.28515625" style="151" bestFit="1" customWidth="1"/>
    <col min="10" max="10" width="11.7109375" style="152" bestFit="1" customWidth="1"/>
    <col min="11" max="11" width="11.85546875" style="151" bestFit="1" customWidth="1"/>
    <col min="12" max="16384" width="9.140625" style="151"/>
  </cols>
  <sheetData>
    <row r="1" spans="1:11" x14ac:dyDescent="0.2">
      <c r="A1" s="151" t="s">
        <v>216</v>
      </c>
      <c r="C1" s="208" t="s">
        <v>209</v>
      </c>
      <c r="D1" s="208"/>
      <c r="F1" s="209" t="s">
        <v>210</v>
      </c>
    </row>
    <row r="3" spans="1:11" x14ac:dyDescent="0.2">
      <c r="F3" s="264" t="s">
        <v>215</v>
      </c>
      <c r="I3" s="216" t="s">
        <v>211</v>
      </c>
    </row>
    <row r="4" spans="1:11" x14ac:dyDescent="0.2">
      <c r="B4" s="151" t="s">
        <v>151</v>
      </c>
      <c r="C4" s="152" t="s">
        <v>152</v>
      </c>
      <c r="D4" s="152" t="s">
        <v>175</v>
      </c>
      <c r="F4" s="151" t="s">
        <v>153</v>
      </c>
      <c r="G4" s="152" t="s">
        <v>154</v>
      </c>
      <c r="I4" s="151" t="s">
        <v>153</v>
      </c>
      <c r="J4" s="152" t="s">
        <v>154</v>
      </c>
      <c r="K4" s="151" t="s">
        <v>159</v>
      </c>
    </row>
    <row r="5" spans="1:11" x14ac:dyDescent="0.2">
      <c r="I5" s="153" t="s">
        <v>239</v>
      </c>
      <c r="J5" s="214">
        <v>8412.2000000000007</v>
      </c>
      <c r="K5" s="213"/>
    </row>
    <row r="6" spans="1:11" x14ac:dyDescent="0.2">
      <c r="B6" s="153" t="s">
        <v>164</v>
      </c>
      <c r="C6" s="205">
        <f>'Sum 4a - ALL'!H51</f>
        <v>50702.020000000004</v>
      </c>
      <c r="D6" s="160" t="s">
        <v>174</v>
      </c>
      <c r="E6" s="161"/>
      <c r="F6" s="161" t="s">
        <v>156</v>
      </c>
      <c r="G6" s="268">
        <v>50702.02</v>
      </c>
      <c r="I6" s="154"/>
      <c r="J6" s="159"/>
      <c r="K6" s="155"/>
    </row>
    <row r="7" spans="1:11" x14ac:dyDescent="0.2">
      <c r="B7" s="154" t="s">
        <v>165</v>
      </c>
      <c r="C7" s="205">
        <f>'Sum 4a - ALL'!H52</f>
        <v>0</v>
      </c>
      <c r="D7" s="162" t="s">
        <v>174</v>
      </c>
      <c r="E7" s="163"/>
      <c r="F7" s="163" t="s">
        <v>157</v>
      </c>
      <c r="G7" s="155"/>
      <c r="I7" s="154" t="s">
        <v>220</v>
      </c>
      <c r="J7" s="224">
        <f>SUM(J5:J6)</f>
        <v>8412.2000000000007</v>
      </c>
      <c r="K7" s="155"/>
    </row>
    <row r="8" spans="1:11" x14ac:dyDescent="0.2">
      <c r="B8" s="154" t="s">
        <v>166</v>
      </c>
      <c r="C8" s="206">
        <f>'Sum 4a - ALL'!H59</f>
        <v>37391.81</v>
      </c>
      <c r="D8" s="162" t="s">
        <v>174</v>
      </c>
      <c r="E8" s="163"/>
      <c r="F8" s="163" t="s">
        <v>155</v>
      </c>
      <c r="G8" s="155">
        <v>37391.81</v>
      </c>
      <c r="I8" s="154"/>
      <c r="J8" s="159"/>
      <c r="K8" s="155"/>
    </row>
    <row r="9" spans="1:11" x14ac:dyDescent="0.2">
      <c r="B9" s="154" t="s">
        <v>266</v>
      </c>
      <c r="C9" s="206">
        <f>'Sum 4a - ALL'!H55</f>
        <v>0</v>
      </c>
      <c r="D9" s="162" t="s">
        <v>174</v>
      </c>
      <c r="E9" s="163"/>
      <c r="F9" s="163" t="s">
        <v>264</v>
      </c>
      <c r="G9" s="155"/>
      <c r="I9" s="154"/>
      <c r="J9" s="159"/>
      <c r="K9" s="155"/>
    </row>
    <row r="10" spans="1:11" x14ac:dyDescent="0.2">
      <c r="B10" s="154"/>
      <c r="C10" s="206"/>
      <c r="D10" s="162"/>
      <c r="E10" s="163"/>
      <c r="F10" s="225" t="s">
        <v>241</v>
      </c>
      <c r="G10" s="155"/>
      <c r="I10" s="154"/>
      <c r="J10" s="159"/>
      <c r="K10" s="155"/>
    </row>
    <row r="11" spans="1:11" x14ac:dyDescent="0.2">
      <c r="B11" s="154"/>
      <c r="C11" s="159"/>
      <c r="D11" s="164"/>
      <c r="E11" s="163"/>
      <c r="F11" s="163" t="s">
        <v>160</v>
      </c>
      <c r="G11" s="155"/>
      <c r="I11" s="154"/>
      <c r="J11" s="159"/>
      <c r="K11" s="155"/>
    </row>
    <row r="12" spans="1:11" x14ac:dyDescent="0.2">
      <c r="B12" s="154"/>
      <c r="C12" s="159"/>
      <c r="D12" s="164"/>
      <c r="E12" s="163"/>
      <c r="F12" s="163" t="s">
        <v>161</v>
      </c>
      <c r="G12" s="155">
        <v>61</v>
      </c>
      <c r="I12" s="154"/>
      <c r="J12" s="159"/>
      <c r="K12" s="155"/>
    </row>
    <row r="13" spans="1:11" x14ac:dyDescent="0.2">
      <c r="B13" s="154"/>
      <c r="C13" s="159"/>
      <c r="D13" s="164"/>
      <c r="E13" s="163"/>
      <c r="F13" s="163" t="s">
        <v>162</v>
      </c>
      <c r="G13" s="155">
        <v>22620.15</v>
      </c>
      <c r="I13" s="154"/>
      <c r="J13" s="159"/>
      <c r="K13" s="155"/>
    </row>
    <row r="14" spans="1:11" x14ac:dyDescent="0.2">
      <c r="B14" s="157" t="s">
        <v>167</v>
      </c>
      <c r="C14" s="203">
        <f>'Sum 4a - ALL'!H58</f>
        <v>22681.15</v>
      </c>
      <c r="D14" s="165" t="s">
        <v>174</v>
      </c>
      <c r="E14" s="166"/>
      <c r="F14" s="166" t="s">
        <v>163</v>
      </c>
      <c r="G14" s="202">
        <f>SUM(G11:G13)</f>
        <v>22681.15</v>
      </c>
      <c r="I14" s="154" t="s">
        <v>158</v>
      </c>
      <c r="J14" s="215">
        <v>6470</v>
      </c>
      <c r="K14" s="210">
        <v>-188.12</v>
      </c>
    </row>
    <row r="15" spans="1:11" x14ac:dyDescent="0.2">
      <c r="I15" s="154"/>
      <c r="J15" s="159"/>
      <c r="K15" s="155"/>
    </row>
    <row r="16" spans="1:11" x14ac:dyDescent="0.2">
      <c r="B16" s="153" t="s">
        <v>168</v>
      </c>
      <c r="C16" s="204">
        <f>'Sum 4a - ALL'!H62</f>
        <v>32303999.010000002</v>
      </c>
      <c r="I16" s="154"/>
      <c r="J16" s="159"/>
      <c r="K16" s="155"/>
    </row>
    <row r="17" spans="2:11" x14ac:dyDescent="0.2">
      <c r="B17" s="154" t="s">
        <v>169</v>
      </c>
      <c r="C17" s="201">
        <f>SUM(J26:K26)</f>
        <v>337841.58</v>
      </c>
      <c r="D17" s="152" t="s">
        <v>182</v>
      </c>
      <c r="I17" s="154" t="s">
        <v>217</v>
      </c>
      <c r="J17" s="215">
        <v>313932.5</v>
      </c>
      <c r="K17" s="210"/>
    </row>
    <row r="18" spans="2:11" x14ac:dyDescent="0.2">
      <c r="B18" s="154" t="s">
        <v>207</v>
      </c>
      <c r="C18" s="210">
        <v>0</v>
      </c>
      <c r="I18" s="154" t="s">
        <v>218</v>
      </c>
      <c r="J18" s="215">
        <v>9215</v>
      </c>
      <c r="K18" s="210"/>
    </row>
    <row r="19" spans="2:11" x14ac:dyDescent="0.2">
      <c r="B19" s="154"/>
      <c r="C19" s="155"/>
      <c r="I19" s="154" t="s">
        <v>219</v>
      </c>
      <c r="J19" s="206">
        <f>SUM(J17:J18)</f>
        <v>323147.5</v>
      </c>
      <c r="K19" s="155"/>
    </row>
    <row r="20" spans="2:11" x14ac:dyDescent="0.2">
      <c r="B20" s="154"/>
      <c r="C20" s="155"/>
      <c r="I20" s="154"/>
      <c r="J20" s="159"/>
      <c r="K20" s="155"/>
    </row>
    <row r="21" spans="2:11" x14ac:dyDescent="0.2">
      <c r="B21" s="154" t="s">
        <v>171</v>
      </c>
      <c r="C21" s="201">
        <f>SUM(C16:C19)</f>
        <v>32641840.59</v>
      </c>
      <c r="D21" s="218" t="s">
        <v>214</v>
      </c>
      <c r="E21" s="152"/>
      <c r="I21" s="154"/>
      <c r="J21" s="159"/>
      <c r="K21" s="155"/>
    </row>
    <row r="22" spans="2:11" x14ac:dyDescent="0.2">
      <c r="B22" s="154"/>
      <c r="C22" s="155"/>
      <c r="D22" s="219"/>
      <c r="E22" s="152"/>
      <c r="I22" s="154"/>
      <c r="J22" s="159"/>
      <c r="K22" s="155"/>
    </row>
    <row r="23" spans="2:11" x14ac:dyDescent="0.2">
      <c r="B23" s="154" t="s">
        <v>173</v>
      </c>
      <c r="C23" s="210">
        <v>32641840.59</v>
      </c>
      <c r="D23" s="220" t="s">
        <v>214</v>
      </c>
      <c r="I23" s="154"/>
      <c r="J23" s="159"/>
      <c r="K23" s="155"/>
    </row>
    <row r="24" spans="2:11" x14ac:dyDescent="0.2">
      <c r="B24" s="154"/>
      <c r="C24" s="155"/>
      <c r="I24" s="154"/>
      <c r="J24" s="159"/>
      <c r="K24" s="155"/>
    </row>
    <row r="25" spans="2:11" x14ac:dyDescent="0.2">
      <c r="B25" s="157"/>
      <c r="C25" s="158"/>
      <c r="F25" s="265" t="s">
        <v>267</v>
      </c>
      <c r="G25" s="204">
        <f>SUM(G6:G13)</f>
        <v>110774.97999999998</v>
      </c>
      <c r="I25" s="154"/>
      <c r="J25" s="159"/>
      <c r="K25" s="155"/>
    </row>
    <row r="26" spans="2:11" x14ac:dyDescent="0.2">
      <c r="C26" s="146"/>
      <c r="F26" s="154" t="s">
        <v>170</v>
      </c>
      <c r="G26" s="155"/>
      <c r="I26" s="157" t="s">
        <v>176</v>
      </c>
      <c r="J26" s="203">
        <f>SUM(J7,J13:J15,J19,J23, J11)</f>
        <v>338029.7</v>
      </c>
      <c r="K26" s="202">
        <f>SUM(K5:K25)</f>
        <v>-188.12</v>
      </c>
    </row>
    <row r="27" spans="2:11" x14ac:dyDescent="0.2">
      <c r="B27" s="153" t="s">
        <v>181</v>
      </c>
      <c r="C27" s="204">
        <f>'Sum 4a - ALL'!H48</f>
        <v>32193224.030000001</v>
      </c>
      <c r="F27" s="154"/>
      <c r="G27" s="155"/>
    </row>
    <row r="28" spans="2:11" x14ac:dyDescent="0.2">
      <c r="B28" s="154" t="s">
        <v>208</v>
      </c>
      <c r="C28" s="210">
        <v>0</v>
      </c>
      <c r="F28" s="154" t="s">
        <v>176</v>
      </c>
      <c r="G28" s="201">
        <f>J26</f>
        <v>338029.7</v>
      </c>
    </row>
    <row r="29" spans="2:11" x14ac:dyDescent="0.2">
      <c r="B29" s="154" t="s">
        <v>187</v>
      </c>
      <c r="C29" s="201">
        <f>SUM(J26:K26)</f>
        <v>337841.58</v>
      </c>
      <c r="D29" s="152" t="s">
        <v>182</v>
      </c>
      <c r="F29" s="154"/>
      <c r="G29" s="155"/>
    </row>
    <row r="30" spans="2:11" x14ac:dyDescent="0.2">
      <c r="B30" s="263" t="s">
        <v>268</v>
      </c>
      <c r="C30" s="201">
        <f>G25</f>
        <v>110774.97999999998</v>
      </c>
      <c r="D30" s="152" t="s">
        <v>185</v>
      </c>
      <c r="F30" s="154" t="s">
        <v>206</v>
      </c>
      <c r="G30" s="201">
        <f>K26</f>
        <v>-188.12</v>
      </c>
    </row>
    <row r="31" spans="2:11" x14ac:dyDescent="0.2">
      <c r="B31" s="154" t="s">
        <v>177</v>
      </c>
      <c r="C31" s="201">
        <f>SUM(C27:C30)</f>
        <v>32641840.59</v>
      </c>
      <c r="D31" s="218" t="s">
        <v>214</v>
      </c>
      <c r="F31" s="156"/>
      <c r="G31" s="155"/>
    </row>
    <row r="32" spans="2:11" x14ac:dyDescent="0.2">
      <c r="B32" s="154"/>
      <c r="C32" s="155"/>
      <c r="D32" s="219"/>
      <c r="F32" s="157" t="s">
        <v>177</v>
      </c>
      <c r="G32" s="203">
        <f>SUM(G25:G30)</f>
        <v>448616.56</v>
      </c>
      <c r="H32" s="218" t="s">
        <v>214</v>
      </c>
      <c r="I32" s="151" t="s">
        <v>178</v>
      </c>
    </row>
    <row r="33" spans="2:9" x14ac:dyDescent="0.2">
      <c r="B33" s="154" t="s">
        <v>186</v>
      </c>
      <c r="C33" s="210">
        <v>32641840.59</v>
      </c>
      <c r="D33" s="220" t="s">
        <v>214</v>
      </c>
      <c r="F33" s="154" t="s">
        <v>212</v>
      </c>
      <c r="H33" s="221"/>
      <c r="I33" s="151" t="s">
        <v>179</v>
      </c>
    </row>
    <row r="34" spans="2:9" x14ac:dyDescent="0.2">
      <c r="B34" s="154"/>
      <c r="C34" s="155"/>
      <c r="F34" s="154" t="s">
        <v>213</v>
      </c>
      <c r="G34" s="217">
        <v>448616.56</v>
      </c>
      <c r="H34" s="220" t="s">
        <v>214</v>
      </c>
      <c r="I34" s="151" t="s">
        <v>180</v>
      </c>
    </row>
    <row r="35" spans="2:9" x14ac:dyDescent="0.2">
      <c r="B35" s="157"/>
      <c r="C35" s="158"/>
      <c r="I35" s="151" t="s">
        <v>189</v>
      </c>
    </row>
    <row r="37" spans="2:9" x14ac:dyDescent="0.2">
      <c r="B37" s="153" t="s">
        <v>205</v>
      </c>
      <c r="C37" s="204">
        <f>'Sum 4a - ALL'!H37</f>
        <v>-98.332138700179712</v>
      </c>
      <c r="D37" s="218" t="s">
        <v>214</v>
      </c>
    </row>
    <row r="38" spans="2:9" x14ac:dyDescent="0.2">
      <c r="B38" s="157" t="s">
        <v>190</v>
      </c>
      <c r="C38" s="222">
        <v>-98.33</v>
      </c>
      <c r="D38" s="220" t="s">
        <v>214</v>
      </c>
    </row>
    <row r="40" spans="2:9" x14ac:dyDescent="0.2">
      <c r="B40" s="153" t="s">
        <v>191</v>
      </c>
      <c r="C40" s="204">
        <f>'Sum 4a - ALL'!H47</f>
        <v>-169886.66999999998</v>
      </c>
    </row>
    <row r="41" spans="2:9" x14ac:dyDescent="0.2">
      <c r="B41" s="154" t="s">
        <v>193</v>
      </c>
      <c r="C41" s="201">
        <f>K26</f>
        <v>-188.12</v>
      </c>
    </row>
    <row r="42" spans="2:9" x14ac:dyDescent="0.2">
      <c r="B42" s="154" t="s">
        <v>194</v>
      </c>
      <c r="C42" s="211">
        <v>0</v>
      </c>
      <c r="F42" s="153" t="s">
        <v>197</v>
      </c>
      <c r="G42" s="161"/>
      <c r="H42" s="204">
        <f>'Sum 4a - ALL'!H42</f>
        <v>0</v>
      </c>
      <c r="I42" s="218" t="s">
        <v>214</v>
      </c>
    </row>
    <row r="43" spans="2:9" x14ac:dyDescent="0.2">
      <c r="B43" s="154" t="s">
        <v>195</v>
      </c>
      <c r="C43" s="201">
        <f>SUM(C40:C42)</f>
        <v>-170074.78999999998</v>
      </c>
      <c r="D43" s="218" t="s">
        <v>214</v>
      </c>
      <c r="F43" s="154" t="s">
        <v>198</v>
      </c>
      <c r="G43" s="163"/>
      <c r="H43" s="210">
        <v>0</v>
      </c>
      <c r="I43" s="219" t="s">
        <v>214</v>
      </c>
    </row>
    <row r="44" spans="2:9" x14ac:dyDescent="0.2">
      <c r="B44" s="157" t="s">
        <v>192</v>
      </c>
      <c r="C44" s="212">
        <v>-170074.79</v>
      </c>
      <c r="D44" s="220" t="s">
        <v>214</v>
      </c>
      <c r="F44" s="157" t="s">
        <v>199</v>
      </c>
      <c r="G44" s="166"/>
      <c r="H44" s="212">
        <v>0</v>
      </c>
      <c r="I44" s="220" t="s">
        <v>214</v>
      </c>
    </row>
  </sheetData>
  <sheetProtection password="C7A6" sheet="1" objects="1" scenarios="1"/>
  <phoneticPr fontId="0" type="noConversion"/>
  <pageMargins left="0.25" right="0.25" top="0.75" bottom="0.75" header="0.3" footer="0.3"/>
  <pageSetup scale="79" orientation="landscape" horizontalDpi="355" verticalDpi="355"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8"/>
  <sheetViews>
    <sheetView zoomScale="70" zoomScaleNormal="70" workbookViewId="0">
      <pane xSplit="4" ySplit="1" topLeftCell="S2" activePane="bottomRight" state="frozen"/>
      <selection pane="topRight" activeCell="E1" sqref="E1"/>
      <selection pane="bottomLeft" activeCell="A2" sqref="A2"/>
      <selection pane="bottomRight" activeCell="Y21" sqref="Y21"/>
    </sheetView>
  </sheetViews>
  <sheetFormatPr defaultRowHeight="15" x14ac:dyDescent="0.2"/>
  <cols>
    <col min="1" max="1" width="15.28515625" style="233" bestFit="1" customWidth="1"/>
    <col min="2" max="2" width="29.140625" style="253" customWidth="1"/>
    <col min="3" max="3" width="21.42578125" style="233" bestFit="1" customWidth="1"/>
    <col min="4" max="4" width="55.28515625" style="233" customWidth="1"/>
    <col min="5" max="5" width="14.5703125" style="233" bestFit="1" customWidth="1"/>
    <col min="6" max="6" width="7.42578125" style="233" bestFit="1" customWidth="1"/>
    <col min="7" max="15" width="4.28515625" style="233" bestFit="1" customWidth="1"/>
    <col min="16" max="16" width="5.42578125" style="233" bestFit="1" customWidth="1"/>
    <col min="17" max="17" width="30.28515625" style="233" bestFit="1" customWidth="1"/>
    <col min="18" max="18" width="14.28515625" style="233" bestFit="1" customWidth="1"/>
    <col min="19" max="20" width="5.85546875" style="247" bestFit="1" customWidth="1"/>
    <col min="21" max="21" width="12.7109375" style="247" bestFit="1" customWidth="1"/>
    <col min="22" max="24" width="5.85546875" style="247" bestFit="1" customWidth="1"/>
    <col min="25" max="25" width="14.7109375" style="247" bestFit="1" customWidth="1"/>
    <col min="26" max="28" width="7.140625" style="247" bestFit="1" customWidth="1"/>
    <col min="29" max="29" width="14.7109375" style="247" bestFit="1" customWidth="1"/>
    <col min="30" max="30" width="19.28515625" style="247" bestFit="1" customWidth="1"/>
    <col min="31" max="31" width="8.28515625" style="247" bestFit="1" customWidth="1"/>
    <col min="32" max="32" width="19.28515625" style="247" bestFit="1" customWidth="1"/>
    <col min="33" max="35" width="7.140625" style="247" bestFit="1" customWidth="1"/>
    <col min="36" max="37" width="16.140625" style="248" bestFit="1" customWidth="1"/>
    <col min="38" max="38" width="7.140625" style="248" bestFit="1" customWidth="1"/>
    <col min="39" max="39" width="16.140625" style="248" bestFit="1" customWidth="1"/>
    <col min="40" max="43" width="8.28515625" style="233" bestFit="1" customWidth="1"/>
    <col min="44" max="44" width="7.140625" style="233" bestFit="1" customWidth="1"/>
    <col min="45" max="45" width="7.140625" style="249" bestFit="1" customWidth="1"/>
    <col min="46" max="49" width="7.140625" style="233" bestFit="1" customWidth="1"/>
    <col min="50" max="57" width="8.28515625" style="247" bestFit="1" customWidth="1"/>
    <col min="58" max="58" width="16" style="247" bestFit="1" customWidth="1"/>
    <col min="59" max="59" width="12.7109375" style="247" bestFit="1" customWidth="1"/>
    <col min="60" max="60" width="7.140625" style="247" bestFit="1" customWidth="1"/>
    <col min="61" max="61" width="14.7109375" style="247" bestFit="1" customWidth="1"/>
    <col min="62" max="62" width="13.5703125" style="247" bestFit="1" customWidth="1"/>
    <col min="63" max="63" width="7.7109375" style="247" bestFit="1" customWidth="1"/>
    <col min="64" max="65" width="7.140625" style="247" bestFit="1" customWidth="1"/>
    <col min="66" max="66" width="11.42578125" style="247" bestFit="1" customWidth="1"/>
    <col min="67" max="69" width="7.140625" style="247" bestFit="1" customWidth="1"/>
    <col min="70" max="70" width="11.42578125" style="247" bestFit="1" customWidth="1"/>
    <col min="71" max="71" width="7.140625" style="247" bestFit="1" customWidth="1"/>
    <col min="72" max="74" width="11.42578125" style="247" bestFit="1" customWidth="1"/>
    <col min="75" max="75" width="16.140625" style="250" bestFit="1" customWidth="1"/>
    <col min="76" max="76" width="15.5703125" style="233" bestFit="1" customWidth="1"/>
    <col min="77" max="77" width="8.140625" style="233" bestFit="1" customWidth="1"/>
    <col min="78" max="16384" width="9.140625" style="233"/>
  </cols>
  <sheetData>
    <row r="1" spans="1:77" x14ac:dyDescent="0.2">
      <c r="A1" s="226" t="s">
        <v>142</v>
      </c>
      <c r="B1" s="251" t="s">
        <v>67</v>
      </c>
      <c r="C1" s="227" t="s">
        <v>68</v>
      </c>
      <c r="D1" s="227" t="s">
        <v>69</v>
      </c>
      <c r="E1" s="227" t="s">
        <v>70</v>
      </c>
      <c r="F1" s="227" t="s">
        <v>71</v>
      </c>
      <c r="G1" s="227" t="s">
        <v>72</v>
      </c>
      <c r="H1" s="227" t="s">
        <v>73</v>
      </c>
      <c r="I1" s="227" t="s">
        <v>74</v>
      </c>
      <c r="J1" s="227" t="s">
        <v>75</v>
      </c>
      <c r="K1" s="227" t="s">
        <v>76</v>
      </c>
      <c r="L1" s="227" t="s">
        <v>77</v>
      </c>
      <c r="M1" s="227" t="s">
        <v>78</v>
      </c>
      <c r="N1" s="227" t="s">
        <v>79</v>
      </c>
      <c r="O1" s="227" t="s">
        <v>80</v>
      </c>
      <c r="P1" s="227" t="s">
        <v>81</v>
      </c>
      <c r="Q1" s="227" t="s">
        <v>82</v>
      </c>
      <c r="R1" s="227" t="s">
        <v>83</v>
      </c>
      <c r="S1" s="228" t="s">
        <v>84</v>
      </c>
      <c r="T1" s="228" t="s">
        <v>85</v>
      </c>
      <c r="U1" s="228" t="s">
        <v>86</v>
      </c>
      <c r="V1" s="228" t="s">
        <v>87</v>
      </c>
      <c r="W1" s="228" t="s">
        <v>88</v>
      </c>
      <c r="X1" s="228" t="s">
        <v>89</v>
      </c>
      <c r="Y1" s="228" t="s">
        <v>90</v>
      </c>
      <c r="Z1" s="228" t="s">
        <v>91</v>
      </c>
      <c r="AA1" s="228" t="s">
        <v>92</v>
      </c>
      <c r="AB1" s="228" t="s">
        <v>93</v>
      </c>
      <c r="AC1" s="228" t="s">
        <v>94</v>
      </c>
      <c r="AD1" s="228" t="s">
        <v>95</v>
      </c>
      <c r="AE1" s="228" t="s">
        <v>96</v>
      </c>
      <c r="AF1" s="228" t="s">
        <v>97</v>
      </c>
      <c r="AG1" s="228" t="s">
        <v>98</v>
      </c>
      <c r="AH1" s="228" t="s">
        <v>99</v>
      </c>
      <c r="AI1" s="228" t="s">
        <v>100</v>
      </c>
      <c r="AJ1" s="229" t="s">
        <v>101</v>
      </c>
      <c r="AK1" s="229" t="s">
        <v>102</v>
      </c>
      <c r="AL1" s="229" t="s">
        <v>103</v>
      </c>
      <c r="AM1" s="229" t="s">
        <v>104</v>
      </c>
      <c r="AN1" s="227" t="s">
        <v>105</v>
      </c>
      <c r="AO1" s="227" t="s">
        <v>106</v>
      </c>
      <c r="AP1" s="227" t="s">
        <v>107</v>
      </c>
      <c r="AQ1" s="227" t="s">
        <v>108</v>
      </c>
      <c r="AR1" s="227" t="s">
        <v>109</v>
      </c>
      <c r="AS1" s="227" t="s">
        <v>110</v>
      </c>
      <c r="AT1" s="227" t="s">
        <v>111</v>
      </c>
      <c r="AU1" s="227" t="s">
        <v>112</v>
      </c>
      <c r="AV1" s="227" t="s">
        <v>113</v>
      </c>
      <c r="AW1" s="227" t="s">
        <v>114</v>
      </c>
      <c r="AX1" s="228" t="s">
        <v>115</v>
      </c>
      <c r="AY1" s="228" t="s">
        <v>116</v>
      </c>
      <c r="AZ1" s="228" t="s">
        <v>117</v>
      </c>
      <c r="BA1" s="228" t="s">
        <v>118</v>
      </c>
      <c r="BB1" s="228" t="s">
        <v>119</v>
      </c>
      <c r="BC1" s="228" t="s">
        <v>120</v>
      </c>
      <c r="BD1" s="228" t="s">
        <v>121</v>
      </c>
      <c r="BE1" s="228" t="s">
        <v>122</v>
      </c>
      <c r="BF1" s="228" t="s">
        <v>123</v>
      </c>
      <c r="BG1" s="228" t="s">
        <v>124</v>
      </c>
      <c r="BH1" s="228" t="s">
        <v>125</v>
      </c>
      <c r="BI1" s="228" t="s">
        <v>126</v>
      </c>
      <c r="BJ1" s="228" t="s">
        <v>127</v>
      </c>
      <c r="BK1" s="228" t="s">
        <v>128</v>
      </c>
      <c r="BL1" s="228" t="s">
        <v>129</v>
      </c>
      <c r="BM1" s="228" t="s">
        <v>130</v>
      </c>
      <c r="BN1" s="228" t="s">
        <v>131</v>
      </c>
      <c r="BO1" s="228" t="s">
        <v>132</v>
      </c>
      <c r="BP1" s="228" t="s">
        <v>133</v>
      </c>
      <c r="BQ1" s="228" t="s">
        <v>134</v>
      </c>
      <c r="BR1" s="228" t="s">
        <v>135</v>
      </c>
      <c r="BS1" s="228" t="s">
        <v>136</v>
      </c>
      <c r="BT1" s="228" t="s">
        <v>137</v>
      </c>
      <c r="BU1" s="228" t="s">
        <v>138</v>
      </c>
      <c r="BV1" s="228" t="s">
        <v>139</v>
      </c>
      <c r="BW1" s="230" t="s">
        <v>140</v>
      </c>
      <c r="BX1" s="231" t="s">
        <v>141</v>
      </c>
      <c r="BY1" s="232" t="s">
        <v>221</v>
      </c>
    </row>
    <row r="2" spans="1:77" ht="17.25" customHeight="1" x14ac:dyDescent="0.2">
      <c r="A2" s="234" t="str">
        <f xml:space="preserve">         TRIM(C2)</f>
        <v>101CROOK_</v>
      </c>
      <c r="B2" s="235">
        <v>70000071</v>
      </c>
      <c r="C2" s="235" t="s">
        <v>222</v>
      </c>
      <c r="D2" s="235" t="s">
        <v>244</v>
      </c>
      <c r="E2" s="235"/>
      <c r="F2" s="235"/>
      <c r="G2" s="235"/>
      <c r="H2" s="235"/>
      <c r="I2" s="235"/>
      <c r="J2" s="235"/>
      <c r="K2" s="235"/>
      <c r="L2" s="235"/>
      <c r="M2" s="235"/>
      <c r="N2" s="235"/>
      <c r="O2" s="235"/>
      <c r="P2" s="235"/>
      <c r="Q2" s="235" t="s">
        <v>245</v>
      </c>
      <c r="R2" s="236">
        <v>101</v>
      </c>
      <c r="S2" s="237"/>
      <c r="T2" s="237"/>
      <c r="U2" s="238"/>
      <c r="V2" s="238"/>
      <c r="W2" s="238"/>
      <c r="X2" s="238"/>
      <c r="Y2" s="238"/>
      <c r="Z2" s="238"/>
      <c r="AA2" s="238"/>
      <c r="AB2" s="238"/>
      <c r="AC2" s="238"/>
      <c r="AD2" s="238">
        <v>2334962000</v>
      </c>
      <c r="AE2" s="238"/>
      <c r="AF2" s="238">
        <v>2334962000</v>
      </c>
      <c r="AG2" s="238">
        <v>0</v>
      </c>
      <c r="AH2" s="238">
        <v>0</v>
      </c>
      <c r="AI2" s="238"/>
      <c r="AJ2" s="239">
        <v>3.8702000000000001</v>
      </c>
      <c r="AK2" s="239"/>
      <c r="AL2" s="239"/>
      <c r="AM2" s="239"/>
      <c r="AN2" s="236"/>
      <c r="AO2" s="236"/>
      <c r="AP2" s="236"/>
      <c r="AQ2" s="236"/>
      <c r="AR2" s="236"/>
      <c r="AS2" s="236"/>
      <c r="AT2" s="236"/>
      <c r="AU2" s="236"/>
      <c r="AV2" s="236"/>
      <c r="AW2" s="236"/>
      <c r="AX2" s="238">
        <v>0</v>
      </c>
      <c r="AY2" s="238"/>
      <c r="AZ2" s="238"/>
      <c r="BA2" s="238"/>
      <c r="BB2" s="238"/>
      <c r="BC2" s="238"/>
      <c r="BD2" s="238"/>
      <c r="BE2" s="238"/>
      <c r="BF2" s="238">
        <v>9036769.9299999997</v>
      </c>
      <c r="BG2" s="238"/>
      <c r="BH2" s="238"/>
      <c r="BI2" s="238"/>
      <c r="BJ2" s="238">
        <v>-221.18</v>
      </c>
      <c r="BK2" s="238"/>
      <c r="BL2" s="238"/>
      <c r="BM2" s="238"/>
      <c r="BN2" s="238">
        <v>15697.43</v>
      </c>
      <c r="BO2" s="238"/>
      <c r="BP2" s="238"/>
      <c r="BQ2" s="238"/>
      <c r="BR2" s="238"/>
      <c r="BS2" s="238"/>
      <c r="BT2" s="238"/>
      <c r="BU2" s="238">
        <v>22681.15</v>
      </c>
      <c r="BV2" s="238">
        <v>10359.450000000001</v>
      </c>
      <c r="BW2" s="240">
        <v>0.27833255159999998</v>
      </c>
      <c r="BX2" s="241"/>
    </row>
    <row r="3" spans="1:77" ht="17.25" customHeight="1" x14ac:dyDescent="0.2">
      <c r="A3" s="234" t="str">
        <f t="shared" ref="A3:A19" si="0" xml:space="preserve">         TRIM(C3)</f>
        <v>502JAIL</v>
      </c>
      <c r="B3" s="235"/>
      <c r="C3" s="235" t="s">
        <v>269</v>
      </c>
      <c r="D3" s="235" t="s">
        <v>270</v>
      </c>
      <c r="E3" s="235"/>
      <c r="F3" s="235"/>
      <c r="G3" s="235"/>
      <c r="H3" s="235"/>
      <c r="I3" s="235"/>
      <c r="J3" s="235"/>
      <c r="K3" s="235"/>
      <c r="L3" s="235"/>
      <c r="M3" s="235"/>
      <c r="N3" s="235"/>
      <c r="O3" s="235"/>
      <c r="P3" s="235"/>
      <c r="Q3" s="235" t="s">
        <v>245</v>
      </c>
      <c r="R3" s="236">
        <v>2035851</v>
      </c>
      <c r="S3" s="237"/>
      <c r="T3" s="237"/>
      <c r="U3" s="238"/>
      <c r="V3" s="238"/>
      <c r="W3" s="238"/>
      <c r="X3" s="238"/>
      <c r="Y3" s="238">
        <v>526600</v>
      </c>
      <c r="Z3" s="238"/>
      <c r="AA3" s="238"/>
      <c r="AB3" s="238"/>
      <c r="AC3" s="238"/>
      <c r="AD3" s="238">
        <v>2334962000</v>
      </c>
      <c r="AE3" s="238"/>
      <c r="AF3" s="238">
        <v>2334962000</v>
      </c>
      <c r="AG3" s="238">
        <v>0</v>
      </c>
      <c r="AH3" s="238">
        <v>0</v>
      </c>
      <c r="AI3" s="238"/>
      <c r="AJ3" s="239"/>
      <c r="AK3" s="239"/>
      <c r="AL3" s="239"/>
      <c r="AM3" s="239">
        <v>0.22550000000000001</v>
      </c>
      <c r="AN3" s="236"/>
      <c r="AO3" s="236"/>
      <c r="AP3" s="236"/>
      <c r="AQ3" s="236"/>
      <c r="AR3" s="236"/>
      <c r="AS3" s="236"/>
      <c r="AT3" s="236"/>
      <c r="AU3" s="236"/>
      <c r="AV3" s="236"/>
      <c r="AW3" s="236"/>
      <c r="AX3" s="238"/>
      <c r="AY3" s="238"/>
      <c r="AZ3" s="238"/>
      <c r="BA3" s="238">
        <v>0</v>
      </c>
      <c r="BB3" s="238"/>
      <c r="BC3" s="238"/>
      <c r="BD3" s="238"/>
      <c r="BE3" s="238"/>
      <c r="BF3" s="238"/>
      <c r="BG3" s="238"/>
      <c r="BH3" s="238"/>
      <c r="BI3" s="238">
        <v>526533.93000000005</v>
      </c>
      <c r="BJ3" s="238"/>
      <c r="BK3" s="238"/>
      <c r="BL3" s="238"/>
      <c r="BM3" s="238"/>
      <c r="BN3" s="238">
        <v>914.62</v>
      </c>
      <c r="BO3" s="238"/>
      <c r="BP3" s="238"/>
      <c r="BQ3" s="238"/>
      <c r="BR3" s="238"/>
      <c r="BS3" s="238"/>
      <c r="BT3" s="238"/>
      <c r="BU3" s="238"/>
      <c r="BV3" s="238">
        <v>603.58000000000004</v>
      </c>
      <c r="BW3" s="240">
        <v>1.6177155499999998E-2</v>
      </c>
      <c r="BX3" s="241"/>
    </row>
    <row r="4" spans="1:77" ht="17.25" customHeight="1" x14ac:dyDescent="0.2">
      <c r="A4" s="234" t="str">
        <f t="shared" si="0"/>
        <v>610AG_EXT</v>
      </c>
      <c r="B4" s="235">
        <v>70008040</v>
      </c>
      <c r="C4" s="235" t="s">
        <v>223</v>
      </c>
      <c r="D4" s="235" t="s">
        <v>246</v>
      </c>
      <c r="E4" s="235"/>
      <c r="F4" s="235"/>
      <c r="G4" s="235"/>
      <c r="H4" s="235"/>
      <c r="I4" s="235"/>
      <c r="J4" s="235"/>
      <c r="K4" s="235"/>
      <c r="L4" s="235"/>
      <c r="M4" s="235"/>
      <c r="N4" s="235"/>
      <c r="O4" s="235"/>
      <c r="P4" s="235"/>
      <c r="Q4" s="235" t="s">
        <v>245</v>
      </c>
      <c r="R4" s="236">
        <v>610</v>
      </c>
      <c r="S4" s="237"/>
      <c r="T4" s="237"/>
      <c r="U4" s="238"/>
      <c r="V4" s="238"/>
      <c r="W4" s="238"/>
      <c r="X4" s="238"/>
      <c r="Y4" s="238"/>
      <c r="Z4" s="238"/>
      <c r="AA4" s="238"/>
      <c r="AB4" s="238"/>
      <c r="AC4" s="238"/>
      <c r="AD4" s="238">
        <v>2334962000</v>
      </c>
      <c r="AE4" s="238"/>
      <c r="AF4" s="238">
        <v>2334962000</v>
      </c>
      <c r="AG4" s="238">
        <v>0</v>
      </c>
      <c r="AH4" s="238">
        <v>0</v>
      </c>
      <c r="AI4" s="238"/>
      <c r="AJ4" s="239">
        <v>0.1207</v>
      </c>
      <c r="AK4" s="239"/>
      <c r="AL4" s="239"/>
      <c r="AM4" s="239"/>
      <c r="AN4" s="236"/>
      <c r="AO4" s="236"/>
      <c r="AP4" s="236"/>
      <c r="AQ4" s="236"/>
      <c r="AR4" s="236"/>
      <c r="AS4" s="236"/>
      <c r="AT4" s="236"/>
      <c r="AU4" s="236"/>
      <c r="AV4" s="236"/>
      <c r="AW4" s="236"/>
      <c r="AX4" s="238">
        <v>0</v>
      </c>
      <c r="AY4" s="238"/>
      <c r="AZ4" s="238"/>
      <c r="BA4" s="238"/>
      <c r="BB4" s="238"/>
      <c r="BC4" s="238"/>
      <c r="BD4" s="238"/>
      <c r="BE4" s="238"/>
      <c r="BF4" s="238">
        <v>281829.90999999997</v>
      </c>
      <c r="BG4" s="238"/>
      <c r="BH4" s="238"/>
      <c r="BI4" s="238"/>
      <c r="BJ4" s="238">
        <v>-6.92</v>
      </c>
      <c r="BK4" s="238"/>
      <c r="BL4" s="238"/>
      <c r="BM4" s="238"/>
      <c r="BN4" s="238">
        <v>489.55</v>
      </c>
      <c r="BO4" s="238"/>
      <c r="BP4" s="238"/>
      <c r="BQ4" s="238"/>
      <c r="BR4" s="238"/>
      <c r="BS4" s="238"/>
      <c r="BT4" s="238"/>
      <c r="BU4" s="238"/>
      <c r="BV4" s="238">
        <v>323.06</v>
      </c>
      <c r="BW4" s="240">
        <v>8.6586907000000008E-3</v>
      </c>
      <c r="BX4" s="241"/>
      <c r="BY4" s="242"/>
    </row>
    <row r="5" spans="1:77" ht="17.25" customHeight="1" x14ac:dyDescent="0.2">
      <c r="A5" s="234" t="str">
        <f t="shared" si="0"/>
        <v>616CC_HIS</v>
      </c>
      <c r="B5" s="235">
        <v>70009030</v>
      </c>
      <c r="C5" s="235" t="s">
        <v>224</v>
      </c>
      <c r="D5" s="235" t="s">
        <v>247</v>
      </c>
      <c r="E5" s="235"/>
      <c r="F5" s="235"/>
      <c r="G5" s="235"/>
      <c r="H5" s="235"/>
      <c r="I5" s="235"/>
      <c r="J5" s="235"/>
      <c r="K5" s="235"/>
      <c r="L5" s="235"/>
      <c r="M5" s="235"/>
      <c r="N5" s="235"/>
      <c r="O5" s="235"/>
      <c r="P5" s="235"/>
      <c r="Q5" s="235" t="s">
        <v>245</v>
      </c>
      <c r="R5" s="236">
        <v>616</v>
      </c>
      <c r="S5" s="237"/>
      <c r="T5" s="237"/>
      <c r="U5" s="238"/>
      <c r="V5" s="238"/>
      <c r="W5" s="238"/>
      <c r="X5" s="238"/>
      <c r="Y5" s="238"/>
      <c r="Z5" s="238"/>
      <c r="AA5" s="238"/>
      <c r="AB5" s="238"/>
      <c r="AC5" s="238"/>
      <c r="AD5" s="238">
        <v>2334962000</v>
      </c>
      <c r="AE5" s="238"/>
      <c r="AF5" s="238">
        <v>2334962000</v>
      </c>
      <c r="AG5" s="238">
        <v>0</v>
      </c>
      <c r="AH5" s="238">
        <v>0</v>
      </c>
      <c r="AI5" s="238"/>
      <c r="AJ5" s="239"/>
      <c r="AK5" s="239">
        <v>0.06</v>
      </c>
      <c r="AL5" s="239"/>
      <c r="AM5" s="239"/>
      <c r="AN5" s="236"/>
      <c r="AO5" s="236"/>
      <c r="AP5" s="236"/>
      <c r="AQ5" s="236"/>
      <c r="AR5" s="236"/>
      <c r="AS5" s="236"/>
      <c r="AT5" s="236"/>
      <c r="AU5" s="236"/>
      <c r="AV5" s="236"/>
      <c r="AW5" s="236"/>
      <c r="AX5" s="238"/>
      <c r="AY5" s="238">
        <v>0</v>
      </c>
      <c r="AZ5" s="238"/>
      <c r="BA5" s="238"/>
      <c r="BB5" s="238"/>
      <c r="BC5" s="238"/>
      <c r="BD5" s="238"/>
      <c r="BE5" s="238"/>
      <c r="BF5" s="238"/>
      <c r="BG5" s="238">
        <v>140097.72</v>
      </c>
      <c r="BH5" s="238"/>
      <c r="BI5" s="238"/>
      <c r="BJ5" s="238"/>
      <c r="BK5" s="238">
        <v>-57.94</v>
      </c>
      <c r="BL5" s="238"/>
      <c r="BM5" s="238"/>
      <c r="BN5" s="238">
        <v>243.36</v>
      </c>
      <c r="BO5" s="238"/>
      <c r="BP5" s="238"/>
      <c r="BQ5" s="238"/>
      <c r="BR5" s="238"/>
      <c r="BS5" s="238"/>
      <c r="BT5" s="238"/>
      <c r="BU5" s="238"/>
      <c r="BV5" s="238">
        <v>160.61000000000001</v>
      </c>
      <c r="BW5" s="240">
        <v>4.3025683000000002E-3</v>
      </c>
      <c r="BX5" s="241"/>
    </row>
    <row r="6" spans="1:77" ht="17.25" customHeight="1" x14ac:dyDescent="0.2">
      <c r="A6" s="234" t="str">
        <f t="shared" si="0"/>
        <v>622HIGH_D</v>
      </c>
      <c r="B6" s="252">
        <v>70509000</v>
      </c>
      <c r="C6" s="241" t="s">
        <v>225</v>
      </c>
      <c r="D6" s="254" t="s">
        <v>248</v>
      </c>
      <c r="E6" s="241"/>
      <c r="F6" s="241"/>
      <c r="G6" s="241"/>
      <c r="H6" s="241"/>
      <c r="I6" s="241"/>
      <c r="J6" s="241"/>
      <c r="K6" s="241"/>
      <c r="L6" s="241"/>
      <c r="M6" s="241"/>
      <c r="N6" s="241"/>
      <c r="O6" s="241"/>
      <c r="P6" s="241"/>
      <c r="Q6" s="241" t="s">
        <v>245</v>
      </c>
      <c r="R6" s="241">
        <v>622</v>
      </c>
      <c r="S6" s="243"/>
      <c r="T6" s="243"/>
      <c r="U6" s="243"/>
      <c r="V6" s="243"/>
      <c r="W6" s="243"/>
      <c r="X6" s="243"/>
      <c r="Y6" s="243"/>
      <c r="Z6" s="243"/>
      <c r="AA6" s="243"/>
      <c r="AB6" s="243"/>
      <c r="AC6" s="243"/>
      <c r="AD6" s="243">
        <v>2334962000</v>
      </c>
      <c r="AE6" s="243"/>
      <c r="AF6" s="243">
        <v>2334962000</v>
      </c>
      <c r="AG6" s="243">
        <v>0</v>
      </c>
      <c r="AH6" s="243">
        <v>0</v>
      </c>
      <c r="AI6" s="243"/>
      <c r="AJ6" s="244">
        <v>9.64E-2</v>
      </c>
      <c r="AK6" s="244"/>
      <c r="AL6" s="244"/>
      <c r="AM6" s="244"/>
      <c r="AN6" s="241"/>
      <c r="AO6" s="241"/>
      <c r="AP6" s="241"/>
      <c r="AQ6" s="241"/>
      <c r="AR6" s="241"/>
      <c r="AS6" s="245"/>
      <c r="AT6" s="241"/>
      <c r="AU6" s="241"/>
      <c r="AV6" s="241"/>
      <c r="AW6" s="241"/>
      <c r="AX6" s="243">
        <v>0</v>
      </c>
      <c r="AY6" s="243"/>
      <c r="AZ6" s="243"/>
      <c r="BA6" s="243"/>
      <c r="BB6" s="243"/>
      <c r="BC6" s="243"/>
      <c r="BD6" s="243"/>
      <c r="BE6" s="243"/>
      <c r="BF6" s="243">
        <v>225090.34</v>
      </c>
      <c r="BG6" s="243"/>
      <c r="BH6" s="243"/>
      <c r="BI6" s="243"/>
      <c r="BJ6" s="243">
        <v>-2966.18</v>
      </c>
      <c r="BK6" s="243"/>
      <c r="BL6" s="243"/>
      <c r="BM6" s="243"/>
      <c r="BN6" s="243">
        <v>391</v>
      </c>
      <c r="BO6" s="243"/>
      <c r="BP6" s="243"/>
      <c r="BQ6" s="243"/>
      <c r="BR6" s="243"/>
      <c r="BS6" s="243"/>
      <c r="BT6" s="243"/>
      <c r="BU6" s="243"/>
      <c r="BV6" s="243">
        <v>258.01</v>
      </c>
      <c r="BW6" s="246">
        <v>6.8247734999999999E-3</v>
      </c>
      <c r="BX6" s="241"/>
    </row>
    <row r="7" spans="1:77" ht="17.25" customHeight="1" x14ac:dyDescent="0.2">
      <c r="A7" s="234" t="str">
        <f t="shared" si="0"/>
        <v>630DESCHU</v>
      </c>
      <c r="B7" s="235">
        <v>70025900</v>
      </c>
      <c r="C7" s="235" t="s">
        <v>226</v>
      </c>
      <c r="D7" s="235" t="s">
        <v>249</v>
      </c>
      <c r="E7" s="235"/>
      <c r="F7" s="235"/>
      <c r="G7" s="235"/>
      <c r="H7" s="235"/>
      <c r="I7" s="235"/>
      <c r="J7" s="235"/>
      <c r="K7" s="235"/>
      <c r="L7" s="235"/>
      <c r="M7" s="235"/>
      <c r="N7" s="235"/>
      <c r="O7" s="235"/>
      <c r="P7" s="235"/>
      <c r="Q7" s="235" t="s">
        <v>245</v>
      </c>
      <c r="R7" s="236">
        <v>630</v>
      </c>
      <c r="S7" s="237"/>
      <c r="T7" s="237"/>
      <c r="U7" s="238"/>
      <c r="V7" s="238"/>
      <c r="W7" s="238"/>
      <c r="X7" s="238"/>
      <c r="Y7" s="238"/>
      <c r="Z7" s="238"/>
      <c r="AA7" s="238"/>
      <c r="AB7" s="238"/>
      <c r="AC7" s="238"/>
      <c r="AD7" s="238">
        <v>496375</v>
      </c>
      <c r="AE7" s="238"/>
      <c r="AF7" s="238">
        <v>496375</v>
      </c>
      <c r="AG7" s="238">
        <v>0</v>
      </c>
      <c r="AH7" s="238">
        <v>0</v>
      </c>
      <c r="AI7" s="238"/>
      <c r="AJ7" s="239">
        <v>1.7542</v>
      </c>
      <c r="AK7" s="239"/>
      <c r="AL7" s="239"/>
      <c r="AM7" s="239"/>
      <c r="AN7" s="236"/>
      <c r="AO7" s="236"/>
      <c r="AP7" s="236"/>
      <c r="AQ7" s="236"/>
      <c r="AR7" s="236"/>
      <c r="AS7" s="236"/>
      <c r="AT7" s="236"/>
      <c r="AU7" s="236"/>
      <c r="AV7" s="236"/>
      <c r="AW7" s="236"/>
      <c r="AX7" s="238">
        <v>0</v>
      </c>
      <c r="AY7" s="238"/>
      <c r="AZ7" s="238"/>
      <c r="BA7" s="238"/>
      <c r="BB7" s="238"/>
      <c r="BC7" s="238"/>
      <c r="BD7" s="238"/>
      <c r="BE7" s="238"/>
      <c r="BF7" s="238">
        <v>870.74</v>
      </c>
      <c r="BG7" s="238"/>
      <c r="BH7" s="238"/>
      <c r="BI7" s="238"/>
      <c r="BJ7" s="238"/>
      <c r="BK7" s="238"/>
      <c r="BL7" s="238"/>
      <c r="BM7" s="238"/>
      <c r="BN7" s="238"/>
      <c r="BO7" s="238"/>
      <c r="BP7" s="238"/>
      <c r="BQ7" s="238"/>
      <c r="BR7" s="238"/>
      <c r="BS7" s="238"/>
      <c r="BT7" s="238"/>
      <c r="BU7" s="238"/>
      <c r="BV7" s="238"/>
      <c r="BW7" s="240">
        <v>2.6675599999999999E-5</v>
      </c>
      <c r="BX7" s="241"/>
    </row>
    <row r="8" spans="1:77" ht="17.25" customHeight="1" x14ac:dyDescent="0.2">
      <c r="A8" s="234" t="str">
        <f t="shared" si="0"/>
        <v>631CCFR_T</v>
      </c>
      <c r="B8" s="235">
        <v>70049960</v>
      </c>
      <c r="C8" s="235" t="s">
        <v>227</v>
      </c>
      <c r="D8" s="235" t="s">
        <v>250</v>
      </c>
      <c r="E8" s="235"/>
      <c r="F8" s="235"/>
      <c r="G8" s="235"/>
      <c r="H8" s="235"/>
      <c r="I8" s="235"/>
      <c r="J8" s="235"/>
      <c r="K8" s="235"/>
      <c r="L8" s="235"/>
      <c r="M8" s="235"/>
      <c r="N8" s="235"/>
      <c r="O8" s="235"/>
      <c r="P8" s="235"/>
      <c r="Q8" s="235" t="s">
        <v>245</v>
      </c>
      <c r="R8" s="236">
        <v>631</v>
      </c>
      <c r="S8" s="237"/>
      <c r="T8" s="237"/>
      <c r="U8" s="238"/>
      <c r="V8" s="238"/>
      <c r="W8" s="238"/>
      <c r="X8" s="238"/>
      <c r="Y8" s="238"/>
      <c r="Z8" s="238"/>
      <c r="AA8" s="238"/>
      <c r="AB8" s="238"/>
      <c r="AC8" s="238"/>
      <c r="AD8" s="238">
        <v>2191538500</v>
      </c>
      <c r="AE8" s="238"/>
      <c r="AF8" s="238">
        <v>2191538500</v>
      </c>
      <c r="AG8" s="238">
        <v>0</v>
      </c>
      <c r="AH8" s="238">
        <v>0</v>
      </c>
      <c r="AI8" s="238"/>
      <c r="AJ8" s="239">
        <v>1.59</v>
      </c>
      <c r="AK8" s="239"/>
      <c r="AL8" s="239"/>
      <c r="AM8" s="239"/>
      <c r="AN8" s="236"/>
      <c r="AO8" s="236"/>
      <c r="AP8" s="236"/>
      <c r="AQ8" s="236"/>
      <c r="AR8" s="236"/>
      <c r="AS8" s="236"/>
      <c r="AT8" s="236"/>
      <c r="AU8" s="236"/>
      <c r="AV8" s="236"/>
      <c r="AW8" s="236"/>
      <c r="AX8" s="238">
        <v>0</v>
      </c>
      <c r="AY8" s="238"/>
      <c r="AZ8" s="238"/>
      <c r="BA8" s="238"/>
      <c r="BB8" s="238"/>
      <c r="BC8" s="238"/>
      <c r="BD8" s="238"/>
      <c r="BE8" s="238"/>
      <c r="BF8" s="238">
        <v>3484546.22</v>
      </c>
      <c r="BG8" s="238"/>
      <c r="BH8" s="238"/>
      <c r="BI8" s="238"/>
      <c r="BJ8" s="238">
        <v>-88.96</v>
      </c>
      <c r="BK8" s="238"/>
      <c r="BL8" s="238"/>
      <c r="BM8" s="238"/>
      <c r="BN8" s="238">
        <v>6448.98</v>
      </c>
      <c r="BO8" s="238"/>
      <c r="BP8" s="238"/>
      <c r="BQ8" s="238"/>
      <c r="BR8" s="238"/>
      <c r="BS8" s="238"/>
      <c r="BT8" s="238"/>
      <c r="BU8" s="238"/>
      <c r="BV8" s="238">
        <v>3888.22</v>
      </c>
      <c r="BW8" s="240">
        <v>0.10706487119999999</v>
      </c>
      <c r="BX8" s="241"/>
    </row>
    <row r="9" spans="1:77" ht="17.25" customHeight="1" x14ac:dyDescent="0.2">
      <c r="A9" s="234" t="str">
        <f t="shared" si="0"/>
        <v>635HAHLEN</v>
      </c>
      <c r="B9" s="235">
        <v>70003750</v>
      </c>
      <c r="C9" s="235" t="s">
        <v>228</v>
      </c>
      <c r="D9" s="235" t="s">
        <v>251</v>
      </c>
      <c r="E9" s="235"/>
      <c r="F9" s="235"/>
      <c r="G9" s="235"/>
      <c r="H9" s="235"/>
      <c r="I9" s="235"/>
      <c r="J9" s="235"/>
      <c r="K9" s="235"/>
      <c r="L9" s="235"/>
      <c r="M9" s="235"/>
      <c r="N9" s="235"/>
      <c r="O9" s="235"/>
      <c r="P9" s="235"/>
      <c r="Q9" s="235" t="s">
        <v>245</v>
      </c>
      <c r="R9" s="236">
        <v>635</v>
      </c>
      <c r="S9" s="237"/>
      <c r="T9" s="237"/>
      <c r="U9" s="238"/>
      <c r="V9" s="238"/>
      <c r="W9" s="238"/>
      <c r="X9" s="238"/>
      <c r="Y9" s="238"/>
      <c r="Z9" s="238"/>
      <c r="AA9" s="238"/>
      <c r="AB9" s="238"/>
      <c r="AC9" s="238"/>
      <c r="AD9" s="238">
        <v>22564738</v>
      </c>
      <c r="AE9" s="238"/>
      <c r="AF9" s="238">
        <v>22564738</v>
      </c>
      <c r="AG9" s="238">
        <v>0</v>
      </c>
      <c r="AH9" s="238">
        <v>0</v>
      </c>
      <c r="AI9" s="238"/>
      <c r="AJ9" s="239">
        <v>0.85</v>
      </c>
      <c r="AK9" s="239"/>
      <c r="AL9" s="239"/>
      <c r="AM9" s="239"/>
      <c r="AN9" s="236"/>
      <c r="AO9" s="236"/>
      <c r="AP9" s="236"/>
      <c r="AQ9" s="236"/>
      <c r="AR9" s="236"/>
      <c r="AS9" s="236"/>
      <c r="AT9" s="236"/>
      <c r="AU9" s="236"/>
      <c r="AV9" s="236"/>
      <c r="AW9" s="236"/>
      <c r="AX9" s="238">
        <v>0</v>
      </c>
      <c r="AY9" s="238"/>
      <c r="AZ9" s="238"/>
      <c r="BA9" s="238"/>
      <c r="BB9" s="238"/>
      <c r="BC9" s="238"/>
      <c r="BD9" s="238"/>
      <c r="BE9" s="238"/>
      <c r="BF9" s="238">
        <v>19180.03</v>
      </c>
      <c r="BG9" s="238"/>
      <c r="BH9" s="238"/>
      <c r="BI9" s="238"/>
      <c r="BJ9" s="238"/>
      <c r="BK9" s="238"/>
      <c r="BL9" s="238"/>
      <c r="BM9" s="238"/>
      <c r="BN9" s="238"/>
      <c r="BO9" s="238"/>
      <c r="BP9" s="238"/>
      <c r="BQ9" s="238"/>
      <c r="BR9" s="238"/>
      <c r="BS9" s="238"/>
      <c r="BT9" s="238"/>
      <c r="BU9" s="238"/>
      <c r="BV9" s="238">
        <v>64.040000000000006</v>
      </c>
      <c r="BW9" s="240">
        <v>5.8955219999999998E-4</v>
      </c>
      <c r="BX9" s="241"/>
    </row>
    <row r="10" spans="1:77" ht="17.25" customHeight="1" x14ac:dyDescent="0.2">
      <c r="A10" s="234" t="str">
        <f t="shared" si="0"/>
        <v>664CC_PAR</v>
      </c>
      <c r="B10" s="235">
        <v>70001310</v>
      </c>
      <c r="C10" s="235" t="s">
        <v>229</v>
      </c>
      <c r="D10" s="235" t="s">
        <v>252</v>
      </c>
      <c r="E10" s="235"/>
      <c r="F10" s="235"/>
      <c r="G10" s="235"/>
      <c r="H10" s="235"/>
      <c r="I10" s="235"/>
      <c r="J10" s="235"/>
      <c r="K10" s="235"/>
      <c r="L10" s="235"/>
      <c r="M10" s="235"/>
      <c r="N10" s="235"/>
      <c r="O10" s="235"/>
      <c r="P10" s="235"/>
      <c r="Q10" s="235" t="s">
        <v>245</v>
      </c>
      <c r="R10" s="236">
        <v>664</v>
      </c>
      <c r="S10" s="237"/>
      <c r="T10" s="237"/>
      <c r="U10" s="238"/>
      <c r="V10" s="238"/>
      <c r="W10" s="238"/>
      <c r="X10" s="238"/>
      <c r="Y10" s="238"/>
      <c r="Z10" s="238"/>
      <c r="AA10" s="238"/>
      <c r="AB10" s="238"/>
      <c r="AC10" s="238"/>
      <c r="AD10" s="238">
        <v>1255850119</v>
      </c>
      <c r="AE10" s="238"/>
      <c r="AF10" s="238">
        <v>1255850119</v>
      </c>
      <c r="AG10" s="238">
        <v>0</v>
      </c>
      <c r="AH10" s="238">
        <v>0</v>
      </c>
      <c r="AI10" s="238"/>
      <c r="AJ10" s="239">
        <v>0.75690000000000002</v>
      </c>
      <c r="AK10" s="239"/>
      <c r="AL10" s="239"/>
      <c r="AM10" s="239"/>
      <c r="AN10" s="236"/>
      <c r="AO10" s="236"/>
      <c r="AP10" s="236"/>
      <c r="AQ10" s="236"/>
      <c r="AR10" s="236"/>
      <c r="AS10" s="236"/>
      <c r="AT10" s="236"/>
      <c r="AU10" s="236"/>
      <c r="AV10" s="236"/>
      <c r="AW10" s="236"/>
      <c r="AX10" s="238">
        <v>0</v>
      </c>
      <c r="AY10" s="238"/>
      <c r="AZ10" s="238"/>
      <c r="BA10" s="238"/>
      <c r="BB10" s="238"/>
      <c r="BC10" s="238"/>
      <c r="BD10" s="238"/>
      <c r="BE10" s="238"/>
      <c r="BF10" s="238">
        <v>950552.96</v>
      </c>
      <c r="BG10" s="238"/>
      <c r="BH10" s="238"/>
      <c r="BI10" s="238"/>
      <c r="BJ10" s="238">
        <v>-41.14</v>
      </c>
      <c r="BK10" s="238"/>
      <c r="BL10" s="238"/>
      <c r="BM10" s="238"/>
      <c r="BN10" s="238">
        <v>138.53</v>
      </c>
      <c r="BO10" s="238"/>
      <c r="BP10" s="238"/>
      <c r="BQ10" s="238"/>
      <c r="BR10" s="238"/>
      <c r="BS10" s="238"/>
      <c r="BT10" s="238"/>
      <c r="BU10" s="238"/>
      <c r="BV10" s="238">
        <v>949.94</v>
      </c>
      <c r="BW10" s="240">
        <v>2.9152776700000001E-2</v>
      </c>
      <c r="BX10" s="241"/>
    </row>
    <row r="11" spans="1:77" ht="17.25" customHeight="1" x14ac:dyDescent="0.2">
      <c r="A11" s="234" t="str">
        <f t="shared" si="0"/>
        <v>665CROOK_</v>
      </c>
      <c r="B11" s="235">
        <v>70010800</v>
      </c>
      <c r="C11" s="235" t="s">
        <v>230</v>
      </c>
      <c r="D11" s="235" t="s">
        <v>253</v>
      </c>
      <c r="E11" s="235"/>
      <c r="F11" s="235"/>
      <c r="G11" s="235"/>
      <c r="H11" s="235"/>
      <c r="I11" s="235"/>
      <c r="J11" s="235"/>
      <c r="K11" s="235"/>
      <c r="L11" s="235"/>
      <c r="M11" s="235"/>
      <c r="N11" s="235"/>
      <c r="O11" s="235"/>
      <c r="P11" s="235"/>
      <c r="Q11" s="235" t="s">
        <v>245</v>
      </c>
      <c r="R11" s="236">
        <v>665</v>
      </c>
      <c r="S11" s="237"/>
      <c r="T11" s="237"/>
      <c r="U11" s="238"/>
      <c r="V11" s="238"/>
      <c r="W11" s="238"/>
      <c r="X11" s="238"/>
      <c r="Y11" s="238"/>
      <c r="Z11" s="238"/>
      <c r="AA11" s="238"/>
      <c r="AB11" s="238"/>
      <c r="AC11" s="238"/>
      <c r="AD11" s="238">
        <v>2334962000</v>
      </c>
      <c r="AE11" s="238"/>
      <c r="AF11" s="238">
        <v>2334962000</v>
      </c>
      <c r="AG11" s="238">
        <v>0</v>
      </c>
      <c r="AH11" s="238">
        <v>0</v>
      </c>
      <c r="AI11" s="238"/>
      <c r="AJ11" s="239">
        <v>9.9400000000000002E-2</v>
      </c>
      <c r="AK11" s="239"/>
      <c r="AL11" s="239"/>
      <c r="AM11" s="239"/>
      <c r="AN11" s="236"/>
      <c r="AO11" s="236"/>
      <c r="AP11" s="236"/>
      <c r="AQ11" s="236"/>
      <c r="AR11" s="236"/>
      <c r="AS11" s="236"/>
      <c r="AT11" s="236"/>
      <c r="AU11" s="236"/>
      <c r="AV11" s="236"/>
      <c r="AW11" s="236"/>
      <c r="AX11" s="238">
        <v>0</v>
      </c>
      <c r="AY11" s="238"/>
      <c r="AZ11" s="238"/>
      <c r="BA11" s="238"/>
      <c r="BB11" s="238"/>
      <c r="BC11" s="238"/>
      <c r="BD11" s="238"/>
      <c r="BE11" s="238"/>
      <c r="BF11" s="238">
        <v>232095.22</v>
      </c>
      <c r="BG11" s="238"/>
      <c r="BH11" s="238"/>
      <c r="BI11" s="238"/>
      <c r="BJ11" s="238">
        <v>-5.66</v>
      </c>
      <c r="BK11" s="238"/>
      <c r="BL11" s="238"/>
      <c r="BM11" s="238"/>
      <c r="BN11" s="238">
        <v>403.16</v>
      </c>
      <c r="BO11" s="238"/>
      <c r="BP11" s="238"/>
      <c r="BQ11" s="238"/>
      <c r="BR11" s="238"/>
      <c r="BS11" s="238"/>
      <c r="BT11" s="238"/>
      <c r="BU11" s="238"/>
      <c r="BV11" s="238">
        <v>266.06</v>
      </c>
      <c r="BW11" s="240">
        <v>7.1306879999999996E-3</v>
      </c>
      <c r="BX11" s="241"/>
    </row>
    <row r="12" spans="1:77" ht="17.25" customHeight="1" x14ac:dyDescent="0.2">
      <c r="A12" s="234" t="str">
        <f t="shared" si="0"/>
        <v>666VECTOR</v>
      </c>
      <c r="B12" s="235">
        <v>70007530</v>
      </c>
      <c r="C12" s="235" t="s">
        <v>231</v>
      </c>
      <c r="D12" s="235" t="s">
        <v>254</v>
      </c>
      <c r="E12" s="235"/>
      <c r="F12" s="235"/>
      <c r="G12" s="235"/>
      <c r="H12" s="235"/>
      <c r="I12" s="235"/>
      <c r="J12" s="235"/>
      <c r="K12" s="235"/>
      <c r="L12" s="235"/>
      <c r="M12" s="235"/>
      <c r="N12" s="235"/>
      <c r="O12" s="235"/>
      <c r="P12" s="235"/>
      <c r="Q12" s="235" t="s">
        <v>245</v>
      </c>
      <c r="R12" s="236">
        <v>666</v>
      </c>
      <c r="S12" s="237"/>
      <c r="T12" s="237"/>
      <c r="U12" s="238">
        <v>138638</v>
      </c>
      <c r="V12" s="238"/>
      <c r="W12" s="238"/>
      <c r="X12" s="238"/>
      <c r="Y12" s="238"/>
      <c r="Z12" s="238"/>
      <c r="AA12" s="238"/>
      <c r="AB12" s="238"/>
      <c r="AC12" s="238"/>
      <c r="AD12" s="238">
        <v>978900558</v>
      </c>
      <c r="AE12" s="238"/>
      <c r="AF12" s="238">
        <v>978900558</v>
      </c>
      <c r="AG12" s="238">
        <v>0</v>
      </c>
      <c r="AH12" s="238">
        <v>0</v>
      </c>
      <c r="AI12" s="238"/>
      <c r="AJ12" s="239">
        <v>0.1416</v>
      </c>
      <c r="AK12" s="239"/>
      <c r="AL12" s="239"/>
      <c r="AM12" s="239"/>
      <c r="AN12" s="236"/>
      <c r="AO12" s="236"/>
      <c r="AP12" s="236"/>
      <c r="AQ12" s="236"/>
      <c r="AR12" s="236"/>
      <c r="AS12" s="236"/>
      <c r="AT12" s="236"/>
      <c r="AU12" s="236"/>
      <c r="AV12" s="236"/>
      <c r="AW12" s="236"/>
      <c r="AX12" s="238">
        <v>0</v>
      </c>
      <c r="AY12" s="238"/>
      <c r="AZ12" s="238"/>
      <c r="BA12" s="238"/>
      <c r="BB12" s="238"/>
      <c r="BC12" s="238"/>
      <c r="BD12" s="238"/>
      <c r="BE12" s="238"/>
      <c r="BF12" s="238">
        <v>138612.32</v>
      </c>
      <c r="BG12" s="238"/>
      <c r="BH12" s="238"/>
      <c r="BI12" s="238"/>
      <c r="BJ12" s="238">
        <v>-7.71</v>
      </c>
      <c r="BK12" s="238"/>
      <c r="BL12" s="238"/>
      <c r="BM12" s="238"/>
      <c r="BN12" s="238">
        <v>7.87</v>
      </c>
      <c r="BO12" s="238"/>
      <c r="BP12" s="238"/>
      <c r="BQ12" s="238"/>
      <c r="BR12" s="238"/>
      <c r="BS12" s="238"/>
      <c r="BT12" s="238"/>
      <c r="BU12" s="238"/>
      <c r="BV12" s="238">
        <v>172.07</v>
      </c>
      <c r="BW12" s="240">
        <v>4.2517379000000001E-3</v>
      </c>
      <c r="BX12" s="241"/>
    </row>
    <row r="13" spans="1:77" ht="17.25" customHeight="1" x14ac:dyDescent="0.2">
      <c r="A13" s="234" t="str">
        <f t="shared" si="0"/>
        <v>668JUN_CA</v>
      </c>
      <c r="B13" s="235">
        <v>70006870</v>
      </c>
      <c r="C13" s="235" t="s">
        <v>232</v>
      </c>
      <c r="D13" s="235" t="s">
        <v>255</v>
      </c>
      <c r="E13" s="235"/>
      <c r="F13" s="235"/>
      <c r="G13" s="235"/>
      <c r="H13" s="235"/>
      <c r="I13" s="235"/>
      <c r="J13" s="235"/>
      <c r="K13" s="235"/>
      <c r="L13" s="235"/>
      <c r="M13" s="235"/>
      <c r="N13" s="235"/>
      <c r="O13" s="235"/>
      <c r="P13" s="235"/>
      <c r="Q13" s="235" t="s">
        <v>245</v>
      </c>
      <c r="R13" s="236">
        <v>668</v>
      </c>
      <c r="S13" s="237"/>
      <c r="T13" s="237"/>
      <c r="U13" s="238">
        <v>15000</v>
      </c>
      <c r="V13" s="238"/>
      <c r="W13" s="238"/>
      <c r="X13" s="238"/>
      <c r="Y13" s="238"/>
      <c r="Z13" s="238"/>
      <c r="AA13" s="238"/>
      <c r="AB13" s="238"/>
      <c r="AC13" s="238"/>
      <c r="AD13" s="238">
        <v>110003095</v>
      </c>
      <c r="AE13" s="238"/>
      <c r="AF13" s="238">
        <v>110003095</v>
      </c>
      <c r="AG13" s="238">
        <v>0</v>
      </c>
      <c r="AH13" s="238">
        <v>0</v>
      </c>
      <c r="AI13" s="238"/>
      <c r="AJ13" s="239">
        <v>0.1363</v>
      </c>
      <c r="AK13" s="239"/>
      <c r="AL13" s="239"/>
      <c r="AM13" s="239"/>
      <c r="AN13" s="236"/>
      <c r="AO13" s="236"/>
      <c r="AP13" s="236"/>
      <c r="AQ13" s="236"/>
      <c r="AR13" s="236"/>
      <c r="AS13" s="236"/>
      <c r="AT13" s="236"/>
      <c r="AU13" s="236"/>
      <c r="AV13" s="236"/>
      <c r="AW13" s="236"/>
      <c r="AX13" s="238">
        <v>0</v>
      </c>
      <c r="AY13" s="238"/>
      <c r="AZ13" s="238"/>
      <c r="BA13" s="238"/>
      <c r="BB13" s="238"/>
      <c r="BC13" s="238"/>
      <c r="BD13" s="238"/>
      <c r="BE13" s="238"/>
      <c r="BF13" s="238">
        <v>14993.42</v>
      </c>
      <c r="BG13" s="238"/>
      <c r="BH13" s="238"/>
      <c r="BI13" s="238"/>
      <c r="BJ13" s="238">
        <v>-2.4900000000000002</v>
      </c>
      <c r="BK13" s="238"/>
      <c r="BL13" s="238"/>
      <c r="BM13" s="238"/>
      <c r="BN13" s="238">
        <v>7.57</v>
      </c>
      <c r="BO13" s="238"/>
      <c r="BP13" s="238"/>
      <c r="BQ13" s="238"/>
      <c r="BR13" s="238"/>
      <c r="BS13" s="238"/>
      <c r="BT13" s="238"/>
      <c r="BU13" s="238"/>
      <c r="BV13" s="238">
        <v>8.52</v>
      </c>
      <c r="BW13" s="240">
        <v>4.59748E-4</v>
      </c>
      <c r="BX13" s="241"/>
    </row>
    <row r="14" spans="1:77" ht="17.25" customHeight="1" x14ac:dyDescent="0.2">
      <c r="A14" s="234" t="str">
        <f t="shared" si="0"/>
        <v>679PLA_UN</v>
      </c>
      <c r="B14" s="235">
        <v>70003740</v>
      </c>
      <c r="C14" s="235" t="s">
        <v>233</v>
      </c>
      <c r="D14" s="235" t="s">
        <v>256</v>
      </c>
      <c r="E14" s="235"/>
      <c r="F14" s="235"/>
      <c r="G14" s="235"/>
      <c r="H14" s="235"/>
      <c r="I14" s="235"/>
      <c r="J14" s="235"/>
      <c r="K14" s="235"/>
      <c r="L14" s="235"/>
      <c r="M14" s="235"/>
      <c r="N14" s="235"/>
      <c r="O14" s="235"/>
      <c r="P14" s="235"/>
      <c r="Q14" s="235" t="s">
        <v>245</v>
      </c>
      <c r="R14" s="236">
        <v>679</v>
      </c>
      <c r="S14" s="237"/>
      <c r="T14" s="237"/>
      <c r="U14" s="238"/>
      <c r="V14" s="238"/>
      <c r="W14" s="238"/>
      <c r="X14" s="238"/>
      <c r="Y14" s="238"/>
      <c r="Z14" s="238"/>
      <c r="AA14" s="238"/>
      <c r="AB14" s="238"/>
      <c r="AC14" s="238"/>
      <c r="AD14" s="238">
        <v>16466856</v>
      </c>
      <c r="AE14" s="238"/>
      <c r="AF14" s="238">
        <v>16466856</v>
      </c>
      <c r="AG14" s="238">
        <v>0</v>
      </c>
      <c r="AH14" s="238">
        <v>0</v>
      </c>
      <c r="AI14" s="238"/>
      <c r="AJ14" s="239">
        <v>1.8913</v>
      </c>
      <c r="AK14" s="239"/>
      <c r="AL14" s="239"/>
      <c r="AM14" s="239"/>
      <c r="AN14" s="236"/>
      <c r="AO14" s="236"/>
      <c r="AP14" s="236"/>
      <c r="AQ14" s="236"/>
      <c r="AR14" s="236"/>
      <c r="AS14" s="236"/>
      <c r="AT14" s="236"/>
      <c r="AU14" s="236"/>
      <c r="AV14" s="236"/>
      <c r="AW14" s="236"/>
      <c r="AX14" s="238">
        <v>0</v>
      </c>
      <c r="AY14" s="238"/>
      <c r="AZ14" s="238"/>
      <c r="BA14" s="238"/>
      <c r="BB14" s="238"/>
      <c r="BC14" s="238"/>
      <c r="BD14" s="238"/>
      <c r="BE14" s="238"/>
      <c r="BF14" s="238">
        <v>31143.759999999998</v>
      </c>
      <c r="BG14" s="238"/>
      <c r="BH14" s="238"/>
      <c r="BI14" s="238"/>
      <c r="BJ14" s="238"/>
      <c r="BK14" s="238"/>
      <c r="BL14" s="238"/>
      <c r="BM14" s="238"/>
      <c r="BN14" s="238"/>
      <c r="BO14" s="238"/>
      <c r="BP14" s="238"/>
      <c r="BQ14" s="238"/>
      <c r="BR14" s="238"/>
      <c r="BS14" s="238"/>
      <c r="BT14" s="238"/>
      <c r="BU14" s="238"/>
      <c r="BV14" s="238"/>
      <c r="BW14" s="240">
        <v>9.5410549999999997E-4</v>
      </c>
      <c r="BX14" s="241"/>
    </row>
    <row r="15" spans="1:77" ht="17.25" customHeight="1" x14ac:dyDescent="0.2">
      <c r="A15" s="234" t="str">
        <f t="shared" si="0"/>
        <v>680CROOK_</v>
      </c>
      <c r="B15" s="235">
        <v>70162000</v>
      </c>
      <c r="C15" s="235" t="s">
        <v>234</v>
      </c>
      <c r="D15" s="235" t="s">
        <v>257</v>
      </c>
      <c r="E15" s="235"/>
      <c r="F15" s="235"/>
      <c r="G15" s="235"/>
      <c r="H15" s="235"/>
      <c r="I15" s="235"/>
      <c r="J15" s="235"/>
      <c r="K15" s="235"/>
      <c r="L15" s="235"/>
      <c r="M15" s="235"/>
      <c r="N15" s="235"/>
      <c r="O15" s="235"/>
      <c r="P15" s="235"/>
      <c r="Q15" s="235" t="s">
        <v>245</v>
      </c>
      <c r="R15" s="236">
        <v>680</v>
      </c>
      <c r="S15" s="237"/>
      <c r="T15" s="237"/>
      <c r="U15" s="238"/>
      <c r="V15" s="238"/>
      <c r="W15" s="238"/>
      <c r="X15" s="238"/>
      <c r="Y15" s="238"/>
      <c r="Z15" s="238"/>
      <c r="AA15" s="238"/>
      <c r="AB15" s="238"/>
      <c r="AC15" s="238"/>
      <c r="AD15" s="238">
        <v>2334962000</v>
      </c>
      <c r="AE15" s="238"/>
      <c r="AF15" s="238">
        <v>2334962000</v>
      </c>
      <c r="AG15" s="238">
        <v>0</v>
      </c>
      <c r="AH15" s="238">
        <v>0</v>
      </c>
      <c r="AI15" s="238"/>
      <c r="AJ15" s="239">
        <v>4.7855999999999996</v>
      </c>
      <c r="AK15" s="239"/>
      <c r="AL15" s="239"/>
      <c r="AM15" s="239"/>
      <c r="AN15" s="236"/>
      <c r="AO15" s="236"/>
      <c r="AP15" s="236"/>
      <c r="AQ15" s="236"/>
      <c r="AR15" s="236"/>
      <c r="AS15" s="236"/>
      <c r="AT15" s="236"/>
      <c r="AU15" s="236"/>
      <c r="AV15" s="236"/>
      <c r="AW15" s="236"/>
      <c r="AX15" s="238">
        <v>0</v>
      </c>
      <c r="AY15" s="238"/>
      <c r="AZ15" s="238"/>
      <c r="BA15" s="238"/>
      <c r="BB15" s="238"/>
      <c r="BC15" s="238"/>
      <c r="BD15" s="238"/>
      <c r="BE15" s="238"/>
      <c r="BF15" s="238">
        <v>11174194.15</v>
      </c>
      <c r="BG15" s="238"/>
      <c r="BH15" s="238"/>
      <c r="BI15" s="238"/>
      <c r="BJ15" s="238">
        <v>-147237.12</v>
      </c>
      <c r="BK15" s="238"/>
      <c r="BL15" s="238"/>
      <c r="BM15" s="238"/>
      <c r="BN15" s="238">
        <v>19410.310000000001</v>
      </c>
      <c r="BO15" s="238"/>
      <c r="BP15" s="238"/>
      <c r="BQ15" s="238"/>
      <c r="BR15" s="238"/>
      <c r="BS15" s="238"/>
      <c r="BT15" s="238"/>
      <c r="BU15" s="238"/>
      <c r="BV15" s="238">
        <v>12809.74</v>
      </c>
      <c r="BW15" s="240">
        <v>0.3388037217</v>
      </c>
      <c r="BX15" s="241"/>
    </row>
    <row r="16" spans="1:77" ht="17.25" customHeight="1" x14ac:dyDescent="0.2">
      <c r="A16" s="234" t="str">
        <f t="shared" si="0"/>
        <v>690COCC</v>
      </c>
      <c r="B16" s="235">
        <v>70602000</v>
      </c>
      <c r="C16" s="235" t="s">
        <v>235</v>
      </c>
      <c r="D16" s="235" t="s">
        <v>258</v>
      </c>
      <c r="E16" s="235"/>
      <c r="F16" s="235"/>
      <c r="G16" s="235"/>
      <c r="H16" s="235"/>
      <c r="I16" s="235"/>
      <c r="J16" s="235"/>
      <c r="K16" s="235"/>
      <c r="L16" s="235"/>
      <c r="M16" s="235"/>
      <c r="N16" s="235"/>
      <c r="O16" s="235"/>
      <c r="P16" s="235"/>
      <c r="Q16" s="235" t="s">
        <v>245</v>
      </c>
      <c r="R16" s="236">
        <v>690</v>
      </c>
      <c r="S16" s="237"/>
      <c r="T16" s="237"/>
      <c r="U16" s="238"/>
      <c r="V16" s="238"/>
      <c r="W16" s="238"/>
      <c r="X16" s="238"/>
      <c r="Y16" s="238"/>
      <c r="Z16" s="238"/>
      <c r="AA16" s="238"/>
      <c r="AB16" s="238"/>
      <c r="AC16" s="238"/>
      <c r="AD16" s="238">
        <v>2334962000</v>
      </c>
      <c r="AE16" s="238"/>
      <c r="AF16" s="238">
        <v>2334962000</v>
      </c>
      <c r="AG16" s="238">
        <v>0</v>
      </c>
      <c r="AH16" s="238">
        <v>0</v>
      </c>
      <c r="AI16" s="238"/>
      <c r="AJ16" s="239">
        <v>0.62039999999999995</v>
      </c>
      <c r="AK16" s="239"/>
      <c r="AL16" s="239"/>
      <c r="AM16" s="239"/>
      <c r="AN16" s="236"/>
      <c r="AO16" s="236"/>
      <c r="AP16" s="236"/>
      <c r="AQ16" s="236"/>
      <c r="AR16" s="236"/>
      <c r="AS16" s="236"/>
      <c r="AT16" s="236"/>
      <c r="AU16" s="236"/>
      <c r="AV16" s="236"/>
      <c r="AW16" s="236"/>
      <c r="AX16" s="238">
        <v>0</v>
      </c>
      <c r="AY16" s="238"/>
      <c r="AZ16" s="238"/>
      <c r="BA16" s="238"/>
      <c r="BB16" s="238"/>
      <c r="BC16" s="238"/>
      <c r="BD16" s="238"/>
      <c r="BE16" s="238"/>
      <c r="BF16" s="238">
        <v>1448610.42</v>
      </c>
      <c r="BG16" s="238"/>
      <c r="BH16" s="238"/>
      <c r="BI16" s="238"/>
      <c r="BJ16" s="238">
        <v>-19088.099999999999</v>
      </c>
      <c r="BK16" s="238"/>
      <c r="BL16" s="238"/>
      <c r="BM16" s="238"/>
      <c r="BN16" s="238">
        <v>2516.3200000000002</v>
      </c>
      <c r="BO16" s="238"/>
      <c r="BP16" s="238"/>
      <c r="BQ16" s="238"/>
      <c r="BR16" s="238"/>
      <c r="BS16" s="238"/>
      <c r="BT16" s="238"/>
      <c r="BU16" s="238"/>
      <c r="BV16" s="238">
        <v>1660.64</v>
      </c>
      <c r="BW16" s="240">
        <v>4.3922133500000002E-2</v>
      </c>
      <c r="BX16" s="241"/>
    </row>
    <row r="17" spans="1:76" ht="17.25" customHeight="1" x14ac:dyDescent="0.2">
      <c r="A17" s="234" t="str">
        <f t="shared" si="0"/>
        <v>691COCC_B</v>
      </c>
      <c r="B17" s="252">
        <v>70602000</v>
      </c>
      <c r="C17" s="241" t="s">
        <v>236</v>
      </c>
      <c r="D17" s="254" t="s">
        <v>259</v>
      </c>
      <c r="E17" s="241"/>
      <c r="F17" s="241"/>
      <c r="G17" s="241"/>
      <c r="H17" s="241"/>
      <c r="I17" s="241"/>
      <c r="J17" s="241"/>
      <c r="K17" s="241"/>
      <c r="L17" s="241"/>
      <c r="M17" s="241"/>
      <c r="N17" s="241"/>
      <c r="O17" s="241"/>
      <c r="P17" s="241"/>
      <c r="Q17" s="241" t="s">
        <v>245</v>
      </c>
      <c r="R17" s="241">
        <v>691</v>
      </c>
      <c r="S17" s="243"/>
      <c r="T17" s="243"/>
      <c r="U17" s="243"/>
      <c r="V17" s="243"/>
      <c r="W17" s="243"/>
      <c r="X17" s="243"/>
      <c r="Y17" s="243">
        <v>255211.35</v>
      </c>
      <c r="Z17" s="243"/>
      <c r="AA17" s="243"/>
      <c r="AB17" s="243"/>
      <c r="AC17" s="243"/>
      <c r="AD17" s="243">
        <v>2334962000</v>
      </c>
      <c r="AE17" s="243"/>
      <c r="AF17" s="243">
        <v>2334962000</v>
      </c>
      <c r="AG17" s="243">
        <v>0</v>
      </c>
      <c r="AH17" s="243">
        <v>0</v>
      </c>
      <c r="AI17" s="243"/>
      <c r="AJ17" s="244"/>
      <c r="AK17" s="244"/>
      <c r="AL17" s="244"/>
      <c r="AM17" s="244">
        <v>0.10929999999999999</v>
      </c>
      <c r="AN17" s="241"/>
      <c r="AO17" s="241"/>
      <c r="AP17" s="241"/>
      <c r="AQ17" s="241">
        <v>0.10929999999999999</v>
      </c>
      <c r="AR17" s="241"/>
      <c r="AS17" s="245"/>
      <c r="AT17" s="241"/>
      <c r="AU17" s="241"/>
      <c r="AV17" s="241"/>
      <c r="AW17" s="241"/>
      <c r="AX17" s="243"/>
      <c r="AY17" s="243"/>
      <c r="AZ17" s="243"/>
      <c r="BA17" s="243">
        <v>0</v>
      </c>
      <c r="BB17" s="243"/>
      <c r="BC17" s="243"/>
      <c r="BD17" s="243"/>
      <c r="BE17" s="243"/>
      <c r="BF17" s="243"/>
      <c r="BG17" s="243"/>
      <c r="BH17" s="243"/>
      <c r="BI17" s="243">
        <v>255211.35</v>
      </c>
      <c r="BJ17" s="243"/>
      <c r="BK17" s="243"/>
      <c r="BL17" s="243"/>
      <c r="BM17" s="243"/>
      <c r="BN17" s="243">
        <v>443.31</v>
      </c>
      <c r="BO17" s="243"/>
      <c r="BP17" s="243"/>
      <c r="BQ17" s="243"/>
      <c r="BR17" s="243"/>
      <c r="BS17" s="243"/>
      <c r="BT17" s="243"/>
      <c r="BU17" s="243"/>
      <c r="BV17" s="243">
        <v>292.57</v>
      </c>
      <c r="BW17" s="246">
        <v>7.8410783999999997E-3</v>
      </c>
      <c r="BX17" s="241"/>
    </row>
    <row r="18" spans="1:76" ht="17.25" customHeight="1" x14ac:dyDescent="0.2">
      <c r="A18" s="234" t="str">
        <f t="shared" si="0"/>
        <v>692CITY_O</v>
      </c>
      <c r="B18" s="235">
        <v>72720000</v>
      </c>
      <c r="C18" s="235" t="s">
        <v>237</v>
      </c>
      <c r="D18" s="235" t="s">
        <v>260</v>
      </c>
      <c r="E18" s="235"/>
      <c r="F18" s="235"/>
      <c r="G18" s="235"/>
      <c r="H18" s="235"/>
      <c r="I18" s="235"/>
      <c r="J18" s="235"/>
      <c r="K18" s="235"/>
      <c r="L18" s="235"/>
      <c r="M18" s="235"/>
      <c r="N18" s="235"/>
      <c r="O18" s="235"/>
      <c r="P18" s="235"/>
      <c r="Q18" s="235" t="s">
        <v>245</v>
      </c>
      <c r="R18" s="236">
        <v>692</v>
      </c>
      <c r="S18" s="237"/>
      <c r="T18" s="237"/>
      <c r="U18" s="238"/>
      <c r="V18" s="238"/>
      <c r="W18" s="238"/>
      <c r="X18" s="238"/>
      <c r="Y18" s="238"/>
      <c r="Z18" s="238"/>
      <c r="AA18" s="238"/>
      <c r="AB18" s="238"/>
      <c r="AC18" s="238"/>
      <c r="AD18" s="238">
        <v>779373388</v>
      </c>
      <c r="AE18" s="238"/>
      <c r="AF18" s="238">
        <v>779373388</v>
      </c>
      <c r="AG18" s="238">
        <v>0</v>
      </c>
      <c r="AH18" s="238">
        <v>0</v>
      </c>
      <c r="AI18" s="238"/>
      <c r="AJ18" s="239">
        <v>3.0225</v>
      </c>
      <c r="AK18" s="239"/>
      <c r="AL18" s="239"/>
      <c r="AM18" s="239"/>
      <c r="AN18" s="236"/>
      <c r="AO18" s="236"/>
      <c r="AP18" s="236"/>
      <c r="AQ18" s="236"/>
      <c r="AR18" s="236"/>
      <c r="AS18" s="236"/>
      <c r="AT18" s="236"/>
      <c r="AU18" s="236"/>
      <c r="AV18" s="236"/>
      <c r="AW18" s="236"/>
      <c r="AX18" s="238">
        <v>0</v>
      </c>
      <c r="AY18" s="238"/>
      <c r="AZ18" s="238"/>
      <c r="BA18" s="238"/>
      <c r="BB18" s="238"/>
      <c r="BC18" s="238"/>
      <c r="BD18" s="238"/>
      <c r="BE18" s="238"/>
      <c r="BF18" s="238">
        <v>2355656.0699999998</v>
      </c>
      <c r="BG18" s="238"/>
      <c r="BH18" s="238"/>
      <c r="BI18" s="238"/>
      <c r="BJ18" s="238">
        <v>-163.27000000000001</v>
      </c>
      <c r="BK18" s="238"/>
      <c r="BL18" s="238"/>
      <c r="BM18" s="238"/>
      <c r="BN18" s="238">
        <v>168</v>
      </c>
      <c r="BO18" s="238"/>
      <c r="BP18" s="238"/>
      <c r="BQ18" s="238"/>
      <c r="BR18" s="238"/>
      <c r="BS18" s="238"/>
      <c r="BT18" s="238"/>
      <c r="BU18" s="238"/>
      <c r="BV18" s="238">
        <v>3316.95</v>
      </c>
      <c r="BW18" s="240">
        <v>7.2268527400000004E-2</v>
      </c>
      <c r="BX18" s="241"/>
    </row>
    <row r="19" spans="1:76" ht="17.25" customHeight="1" x14ac:dyDescent="0.2">
      <c r="A19" s="234" t="str">
        <f t="shared" si="0"/>
        <v>602_ALFFD</v>
      </c>
      <c r="B19" s="235" t="s">
        <v>242</v>
      </c>
      <c r="C19" s="235" t="s">
        <v>243</v>
      </c>
      <c r="D19" s="235" t="s">
        <v>261</v>
      </c>
      <c r="E19" s="235"/>
      <c r="F19" s="235"/>
      <c r="G19" s="235"/>
      <c r="H19" s="235"/>
      <c r="I19" s="235"/>
      <c r="J19" s="235"/>
      <c r="K19" s="235"/>
      <c r="L19" s="235"/>
      <c r="M19" s="235"/>
      <c r="N19" s="235"/>
      <c r="O19" s="235"/>
      <c r="P19" s="235"/>
      <c r="Q19" s="235" t="s">
        <v>245</v>
      </c>
      <c r="R19" s="236">
        <v>2028784</v>
      </c>
      <c r="S19" s="237"/>
      <c r="T19" s="237"/>
      <c r="U19" s="238"/>
      <c r="V19" s="238"/>
      <c r="W19" s="238"/>
      <c r="X19" s="238"/>
      <c r="Y19" s="238"/>
      <c r="Z19" s="238"/>
      <c r="AA19" s="238"/>
      <c r="AB19" s="238"/>
      <c r="AC19" s="238"/>
      <c r="AD19" s="238">
        <v>4657257</v>
      </c>
      <c r="AE19" s="238"/>
      <c r="AF19" s="238">
        <v>4657257</v>
      </c>
      <c r="AG19" s="238">
        <v>0</v>
      </c>
      <c r="AH19" s="238">
        <v>0</v>
      </c>
      <c r="AI19" s="238"/>
      <c r="AJ19" s="239">
        <v>1.75</v>
      </c>
      <c r="AK19" s="239"/>
      <c r="AL19" s="239"/>
      <c r="AM19" s="239"/>
      <c r="AN19" s="236"/>
      <c r="AO19" s="236"/>
      <c r="AP19" s="236"/>
      <c r="AQ19" s="236"/>
      <c r="AR19" s="236"/>
      <c r="AS19" s="236"/>
      <c r="AT19" s="236"/>
      <c r="AU19" s="236"/>
      <c r="AV19" s="236"/>
      <c r="AW19" s="236"/>
      <c r="AX19" s="238">
        <v>0</v>
      </c>
      <c r="AY19" s="238"/>
      <c r="AZ19" s="238"/>
      <c r="BA19" s="238"/>
      <c r="BB19" s="238"/>
      <c r="BC19" s="238"/>
      <c r="BD19" s="238"/>
      <c r="BE19" s="238"/>
      <c r="BF19" s="238">
        <v>8150.2</v>
      </c>
      <c r="BG19" s="238"/>
      <c r="BH19" s="238"/>
      <c r="BI19" s="238"/>
      <c r="BJ19" s="238"/>
      <c r="BK19" s="238"/>
      <c r="BL19" s="238"/>
      <c r="BM19" s="238"/>
      <c r="BN19" s="238"/>
      <c r="BO19" s="238"/>
      <c r="BP19" s="238"/>
      <c r="BQ19" s="238"/>
      <c r="BR19" s="238"/>
      <c r="BS19" s="238"/>
      <c r="BT19" s="238"/>
      <c r="BU19" s="238"/>
      <c r="BV19" s="238"/>
      <c r="BW19" s="240">
        <v>2.496857E-4</v>
      </c>
      <c r="BX19" s="241"/>
    </row>
    <row r="20" spans="1:76" ht="17.25" customHeight="1" x14ac:dyDescent="0.2">
      <c r="A20" s="234" t="str">
        <f xml:space="preserve">         TRIM(C20)</f>
        <v>681SCH2013</v>
      </c>
      <c r="B20" s="235">
        <v>70162000</v>
      </c>
      <c r="C20" s="235" t="s">
        <v>240</v>
      </c>
      <c r="D20" s="235" t="s">
        <v>262</v>
      </c>
      <c r="E20" s="235"/>
      <c r="F20" s="235"/>
      <c r="G20" s="235"/>
      <c r="H20" s="235"/>
      <c r="I20" s="235"/>
      <c r="J20" s="235"/>
      <c r="K20" s="235"/>
      <c r="L20" s="235"/>
      <c r="M20" s="235"/>
      <c r="N20" s="235"/>
      <c r="O20" s="235"/>
      <c r="P20" s="235"/>
      <c r="Q20" s="235" t="s">
        <v>245</v>
      </c>
      <c r="R20" s="236">
        <v>2027086</v>
      </c>
      <c r="S20" s="237"/>
      <c r="T20" s="237"/>
      <c r="U20" s="238"/>
      <c r="V20" s="238"/>
      <c r="W20" s="238"/>
      <c r="X20" s="238"/>
      <c r="Y20" s="238">
        <v>1970007.44</v>
      </c>
      <c r="Z20" s="238"/>
      <c r="AA20" s="238"/>
      <c r="AB20" s="238"/>
      <c r="AC20" s="238"/>
      <c r="AD20" s="238">
        <v>2334962000</v>
      </c>
      <c r="AE20" s="238"/>
      <c r="AF20" s="238">
        <v>2334962000</v>
      </c>
      <c r="AG20" s="238">
        <v>0</v>
      </c>
      <c r="AH20" s="238">
        <v>0</v>
      </c>
      <c r="AI20" s="238"/>
      <c r="AJ20" s="239"/>
      <c r="AK20" s="239"/>
      <c r="AL20" s="239"/>
      <c r="AM20" s="239">
        <v>0.84370000000000001</v>
      </c>
      <c r="AN20" s="236"/>
      <c r="AO20" s="236"/>
      <c r="AP20" s="236"/>
      <c r="AQ20" s="236">
        <v>0.84370000000000001</v>
      </c>
      <c r="AR20" s="236"/>
      <c r="AS20" s="236"/>
      <c r="AT20" s="236"/>
      <c r="AU20" s="236"/>
      <c r="AV20" s="236"/>
      <c r="AW20" s="236"/>
      <c r="AX20" s="238"/>
      <c r="AY20" s="238"/>
      <c r="AZ20" s="238"/>
      <c r="BA20" s="238">
        <v>0</v>
      </c>
      <c r="BB20" s="238"/>
      <c r="BC20" s="238"/>
      <c r="BD20" s="238"/>
      <c r="BE20" s="238"/>
      <c r="BF20" s="238"/>
      <c r="BG20" s="238"/>
      <c r="BH20" s="238"/>
      <c r="BI20" s="238">
        <v>1970007.44</v>
      </c>
      <c r="BJ20" s="238"/>
      <c r="BK20" s="238"/>
      <c r="BL20" s="238"/>
      <c r="BM20" s="238"/>
      <c r="BN20" s="238">
        <v>3422.01</v>
      </c>
      <c r="BO20" s="238"/>
      <c r="BP20" s="238"/>
      <c r="BQ20" s="238"/>
      <c r="BR20" s="238"/>
      <c r="BS20" s="238"/>
      <c r="BT20" s="238"/>
      <c r="BU20" s="238"/>
      <c r="BV20" s="238">
        <v>2258.35</v>
      </c>
      <c r="BW20" s="240">
        <v>6.0526237599999998E-2</v>
      </c>
      <c r="BX20" s="241"/>
    </row>
    <row r="21" spans="1:76" ht="17.25" customHeight="1" x14ac:dyDescent="0.2">
      <c r="A21" s="234" t="str">
        <f xml:space="preserve">         TRIM(C21)</f>
        <v>651OWWS</v>
      </c>
      <c r="B21" s="235">
        <v>71262009</v>
      </c>
      <c r="C21" s="235" t="s">
        <v>238</v>
      </c>
      <c r="D21" s="235" t="s">
        <v>263</v>
      </c>
      <c r="E21" s="235"/>
      <c r="F21" s="235"/>
      <c r="G21" s="235"/>
      <c r="H21" s="235"/>
      <c r="I21" s="235"/>
      <c r="J21" s="235"/>
      <c r="K21" s="235"/>
      <c r="L21" s="235"/>
      <c r="M21" s="235"/>
      <c r="N21" s="235"/>
      <c r="O21" s="235"/>
      <c r="P21" s="235"/>
      <c r="Q21" s="235" t="s">
        <v>245</v>
      </c>
      <c r="R21" s="236">
        <v>2020117</v>
      </c>
      <c r="S21" s="237"/>
      <c r="T21" s="237"/>
      <c r="U21" s="238"/>
      <c r="V21" s="238"/>
      <c r="W21" s="238"/>
      <c r="X21" s="238"/>
      <c r="Y21" s="238"/>
      <c r="Z21" s="238"/>
      <c r="AA21" s="238"/>
      <c r="AB21" s="238"/>
      <c r="AC21" s="238"/>
      <c r="AD21" s="238">
        <v>24502442</v>
      </c>
      <c r="AE21" s="238"/>
      <c r="AF21" s="238">
        <v>24502442</v>
      </c>
      <c r="AG21" s="238">
        <v>0</v>
      </c>
      <c r="AH21" s="238">
        <v>0</v>
      </c>
      <c r="AI21" s="238"/>
      <c r="AJ21" s="239">
        <v>2.8146</v>
      </c>
      <c r="AK21" s="239"/>
      <c r="AL21" s="239"/>
      <c r="AM21" s="239"/>
      <c r="AN21" s="236"/>
      <c r="AO21" s="236"/>
      <c r="AP21" s="236"/>
      <c r="AQ21" s="236"/>
      <c r="AR21" s="236"/>
      <c r="AS21" s="236"/>
      <c r="AT21" s="236"/>
      <c r="AU21" s="236"/>
      <c r="AV21" s="236"/>
      <c r="AW21" s="236"/>
      <c r="AX21" s="238">
        <v>0</v>
      </c>
      <c r="AY21" s="238"/>
      <c r="AZ21" s="238"/>
      <c r="BA21" s="238"/>
      <c r="BB21" s="238"/>
      <c r="BC21" s="238"/>
      <c r="BD21" s="238"/>
      <c r="BE21" s="238"/>
      <c r="BF21" s="238">
        <v>68964.570000000007</v>
      </c>
      <c r="BG21" s="238"/>
      <c r="BH21" s="238"/>
      <c r="BI21" s="238"/>
      <c r="BJ21" s="238"/>
      <c r="BK21" s="238"/>
      <c r="BL21" s="238"/>
      <c r="BM21" s="238"/>
      <c r="BN21" s="238"/>
      <c r="BO21" s="238"/>
      <c r="BP21" s="238"/>
      <c r="BQ21" s="238"/>
      <c r="BR21" s="238"/>
      <c r="BS21" s="238"/>
      <c r="BT21" s="238"/>
      <c r="BU21" s="238"/>
      <c r="BV21" s="238"/>
      <c r="BW21" s="240">
        <v>2.1127659999999999E-3</v>
      </c>
      <c r="BX21" s="241"/>
    </row>
    <row r="22" spans="1:76" ht="17.25" customHeight="1" x14ac:dyDescent="0.2"/>
    <row r="23" spans="1:76" x14ac:dyDescent="0.2">
      <c r="U23" s="247" t="s">
        <v>272</v>
      </c>
    </row>
    <row r="24" spans="1:76" x14ac:dyDescent="0.2">
      <c r="U24" s="247" t="s">
        <v>273</v>
      </c>
    </row>
    <row r="25" spans="1:76" x14ac:dyDescent="0.2">
      <c r="U25" s="247" t="s">
        <v>274</v>
      </c>
    </row>
    <row r="27" spans="1:76" x14ac:dyDescent="0.2">
      <c r="U27" s="247" t="s">
        <v>275</v>
      </c>
    </row>
    <row r="28" spans="1:76" x14ac:dyDescent="0.2">
      <c r="U28" s="247" t="s">
        <v>274</v>
      </c>
    </row>
  </sheetData>
  <sheetProtection password="C7A6" sheet="1" objects="1" scenarios="1"/>
  <phoneticPr fontId="0" type="noConversion"/>
  <pageMargins left="0.5" right="0.5" top="0.5" bottom="0.5" header="0.5" footer="0.5"/>
  <pageSetup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9" zoomScale="70" zoomScaleNormal="70" workbookViewId="0">
      <selection activeCell="H48" sqref="H48"/>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223</v>
      </c>
    </row>
    <row r="6" spans="1:8" ht="15.75" thickTop="1" x14ac:dyDescent="0.2">
      <c r="A6" s="2">
        <v>1</v>
      </c>
      <c r="B6" s="11" t="s">
        <v>3</v>
      </c>
      <c r="C6" s="150">
        <f>VLOOKUP(H5,'Raw Data'!A:BX,2,FALSE)</f>
        <v>70008040</v>
      </c>
      <c r="D6" s="12"/>
      <c r="E6" s="13"/>
      <c r="F6" s="2"/>
      <c r="G6" s="14"/>
      <c r="H6" s="14"/>
    </row>
    <row r="7" spans="1:8" ht="15" x14ac:dyDescent="0.2">
      <c r="A7" s="2">
        <v>2</v>
      </c>
      <c r="B7" s="11" t="s">
        <v>4</v>
      </c>
      <c r="C7" s="144" t="str">
        <f>VLOOKUP(H5,'Raw Data'!A:BX,4,FALSE)</f>
        <v>610 - AG EXTENSION SERVICE</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0</v>
      </c>
      <c r="E21" s="121">
        <f>SUM(E17)</f>
        <v>0</v>
      </c>
      <c r="F21" s="68">
        <f>SUM(F18:F19)</f>
        <v>0</v>
      </c>
      <c r="G21" s="68">
        <f>SUM(G20)</f>
        <v>0</v>
      </c>
      <c r="H21" s="68">
        <f>SUM(D21:G21)</f>
        <v>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0</v>
      </c>
      <c r="H25" s="128">
        <f>+H21-H24</f>
        <v>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2334962000</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2334962000</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1.2070000000000001E-4</v>
      </c>
      <c r="E35" s="72">
        <f>IF(E25&lt;&gt;0,+INT(E25/$H$32*10000000)/10000000,IF(VLOOKUP(H5,'Raw Data'!A:BX,37,FALSE) = "", 0, VLOOKUP(H5,'Raw Data'!A:BX,37,FALSE)/1000))</f>
        <v>0</v>
      </c>
      <c r="F35" s="72">
        <f>IF(D25&lt;&gt;0,+INT(F25/$H$32*10000000)/10000000,IF(VLOOKUP(H5,'Raw Data'!A:BX,38,FALSE) = "", 0, VLOOKUP(H5,'Raw Data'!A:BX,38,FALSE)/1000))</f>
        <v>0</v>
      </c>
      <c r="G35" s="72">
        <f>+INT(G25/$H$32*10000000)/10000000</f>
        <v>0</v>
      </c>
      <c r="H35" s="143">
        <f>SUM(D35:G35)</f>
        <v>1.2070000000000001E-4</v>
      </c>
    </row>
    <row r="36" spans="1:8" ht="15" x14ac:dyDescent="0.2">
      <c r="A36" s="2">
        <f t="shared" ref="A36:A41" si="0">+A35+1</f>
        <v>19</v>
      </c>
      <c r="B36" s="21" t="s">
        <v>34</v>
      </c>
      <c r="C36" s="21"/>
      <c r="D36" s="76">
        <f>$H$32*D35</f>
        <v>281829.91340000002</v>
      </c>
      <c r="E36" s="74">
        <f>+$H$32*E35</f>
        <v>0</v>
      </c>
      <c r="F36" s="74">
        <f>+$H$32*F35</f>
        <v>0</v>
      </c>
      <c r="G36" s="74">
        <f>+$H$32*G35</f>
        <v>0</v>
      </c>
      <c r="H36" s="75">
        <f>SUM(D36:G36)</f>
        <v>281829.91340000002</v>
      </c>
    </row>
    <row r="37" spans="1:8" ht="15" x14ac:dyDescent="0.2">
      <c r="A37" s="2">
        <f t="shared" si="0"/>
        <v>20</v>
      </c>
      <c r="B37" s="21" t="s">
        <v>35</v>
      </c>
      <c r="C37" s="21"/>
      <c r="D37" s="133">
        <f>IF(D25&lt;&gt;0,+D36-D25,0)</f>
        <v>0</v>
      </c>
      <c r="E37" s="134">
        <f>IF(E25&lt;&gt;0,+E36-E25,0)</f>
        <v>0</v>
      </c>
      <c r="F37" s="132">
        <f>IF(F25&lt;&gt;0,+F36-F25,0)</f>
        <v>0</v>
      </c>
      <c r="G37" s="132">
        <f>IF(G25&lt;&gt;0,+G36-G25,0)</f>
        <v>0</v>
      </c>
      <c r="H37" s="75">
        <f>SUM(D37:G37)</f>
        <v>0</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1.2070000000000001E-4</v>
      </c>
      <c r="E40" s="82">
        <f>E35</f>
        <v>0</v>
      </c>
      <c r="F40" s="82">
        <f>F35</f>
        <v>0</v>
      </c>
      <c r="G40" s="82">
        <f>G35</f>
        <v>0</v>
      </c>
      <c r="H40" s="73">
        <f t="shared" ref="H40:H46" si="1">SUM(D40:G40)</f>
        <v>1.2070000000000001E-4</v>
      </c>
    </row>
    <row r="41" spans="1:8" ht="15" x14ac:dyDescent="0.2">
      <c r="A41" s="2">
        <f t="shared" si="0"/>
        <v>24</v>
      </c>
      <c r="B41" s="21" t="s">
        <v>39</v>
      </c>
      <c r="C41" s="21"/>
      <c r="D41" s="76">
        <f>ROUND(+D40*$H$32,2)</f>
        <v>281829.90999999997</v>
      </c>
      <c r="E41" s="74">
        <f>ROUND(+E40*$H$32,2)</f>
        <v>0</v>
      </c>
      <c r="F41" s="74">
        <f>ROUND(+F40*$H$32,2)</f>
        <v>0</v>
      </c>
      <c r="G41" s="74">
        <f>ROUND(+G40*$H$32,2)</f>
        <v>0</v>
      </c>
      <c r="H41" s="75">
        <f t="shared" si="1"/>
        <v>281829.90999999997</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281829.90999999997</v>
      </c>
      <c r="E44" s="74">
        <f>SUM(E41:E43)</f>
        <v>0</v>
      </c>
      <c r="F44" s="74">
        <f>SUM(F41:F43)</f>
        <v>0</v>
      </c>
      <c r="G44" s="136">
        <f>SUM(G41:G43)</f>
        <v>0</v>
      </c>
      <c r="H44" s="75">
        <f t="shared" si="1"/>
        <v>281829.90999999997</v>
      </c>
    </row>
    <row r="45" spans="1:8" ht="15" x14ac:dyDescent="0.2">
      <c r="A45" s="2">
        <v>25</v>
      </c>
      <c r="B45" s="21" t="s">
        <v>46</v>
      </c>
      <c r="C45" s="21"/>
      <c r="D45" s="135">
        <f>VLOOKUP(H5,'Raw Data'!A:BX,58,FALSE)</f>
        <v>281829.90999999997</v>
      </c>
      <c r="E45" s="74">
        <f>IF(VLOOKUP(H5,'Raw Data'!A:BX,59,FALSE) = "", 0, VLOOKUP(H5,'Raw Data'!A:BX,59,FALSE))</f>
        <v>0</v>
      </c>
      <c r="F45" s="74">
        <f>IF(VLOOKUP(H5,'Raw Data'!A:BX,60,FALSE) = "", 0, VLOOKUP(H5,'Raw Data'!A:BX,60,FALSE))</f>
        <v>0</v>
      </c>
      <c r="G45" s="136">
        <f>IF(VLOOKUP(H5,'Raw Data'!A:BX,61,FALSE) = "", 0, VLOOKUP(H5,'Raw Data'!A:BX,61,FALSE))</f>
        <v>0</v>
      </c>
      <c r="H45" s="75">
        <f t="shared" si="1"/>
        <v>281829.90999999997</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-6.92</v>
      </c>
      <c r="E47" s="86">
        <f>VLOOKUP(H5,'Raw Data'!A:BX,63,FALSE)</f>
        <v>0</v>
      </c>
      <c r="F47" s="86">
        <f>VLOOKUP(H5,'Raw Data'!A:BX,64,FALSE)</f>
        <v>0</v>
      </c>
      <c r="G47" s="77"/>
      <c r="H47" s="87">
        <f>SUM(D47:F47)</f>
        <v>-6.92</v>
      </c>
    </row>
    <row r="48" spans="1:8" ht="16.5" thickBot="1" x14ac:dyDescent="0.3">
      <c r="A48" s="2">
        <f>+A47+1</f>
        <v>28</v>
      </c>
      <c r="B48" s="47" t="s">
        <v>49</v>
      </c>
      <c r="C48" s="47"/>
      <c r="D48" s="138">
        <f>SUM(D44,D46:D47)</f>
        <v>281822.99</v>
      </c>
      <c r="E48" s="140">
        <f>SUM(E44,E46:E47)</f>
        <v>0</v>
      </c>
      <c r="F48" s="140">
        <f>SUM(F44,F46:F47)</f>
        <v>0</v>
      </c>
      <c r="G48" s="139">
        <f>SUM(G44,G46:G47)</f>
        <v>0</v>
      </c>
      <c r="H48" s="266">
        <f>SUM(D48:G48)</f>
        <v>281822.99</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489.55</v>
      </c>
      <c r="H51" s="92">
        <f>G51</f>
        <v>489.55</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323.06</v>
      </c>
      <c r="H59" s="104">
        <f t="shared" si="3"/>
        <v>323.06</v>
      </c>
    </row>
    <row r="60" spans="1:8" ht="17.25" thickTop="1" thickBot="1" x14ac:dyDescent="0.3">
      <c r="A60" s="2">
        <f t="shared" si="2"/>
        <v>38</v>
      </c>
      <c r="B60" s="47" t="s">
        <v>59</v>
      </c>
      <c r="C60" s="47"/>
      <c r="D60" s="105"/>
      <c r="E60" s="106"/>
      <c r="F60" s="107"/>
      <c r="G60" s="109">
        <f>SUM(G51:G59)</f>
        <v>812.61</v>
      </c>
      <c r="H60" s="142">
        <f>SUM(H51:H59)</f>
        <v>812.61</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281822.99</v>
      </c>
      <c r="E62" s="141">
        <f>E48</f>
        <v>0</v>
      </c>
      <c r="F62" s="141">
        <f>F48</f>
        <v>0</v>
      </c>
      <c r="G62" s="141">
        <f>G48+G60</f>
        <v>812.61</v>
      </c>
      <c r="H62" s="142">
        <f>H48+H60</f>
        <v>282635.59999999998</v>
      </c>
    </row>
    <row r="63" spans="1:8" ht="16.5" thickTop="1" thickBot="1" x14ac:dyDescent="0.25">
      <c r="A63" s="2">
        <f>+A62+1</f>
        <v>40</v>
      </c>
      <c r="B63" s="110" t="s">
        <v>61</v>
      </c>
      <c r="C63" s="110"/>
      <c r="D63" s="111"/>
      <c r="E63" s="112"/>
      <c r="F63" s="112"/>
      <c r="G63" s="112"/>
      <c r="H63" s="113">
        <f>VLOOKUP(H5,'Raw Data'!A:BX,75,FALSE)</f>
        <v>8.6586907000000008E-3</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3" zoomScale="70" zoomScaleNormal="70" workbookViewId="0">
      <selection activeCell="H48" sqref="H48"/>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223" t="s">
        <v>224</v>
      </c>
    </row>
    <row r="6" spans="1:8" ht="15.75" thickTop="1" x14ac:dyDescent="0.2">
      <c r="A6" s="2">
        <v>1</v>
      </c>
      <c r="B6" s="11" t="s">
        <v>3</v>
      </c>
      <c r="C6" s="150">
        <f>VLOOKUP(H5,'Raw Data'!A:BX,2,FALSE)</f>
        <v>70009030</v>
      </c>
      <c r="D6" s="12"/>
      <c r="E6" s="13"/>
      <c r="F6" s="2"/>
      <c r="G6" s="14"/>
      <c r="H6" s="14"/>
    </row>
    <row r="7" spans="1:8" ht="15" x14ac:dyDescent="0.2">
      <c r="A7" s="2">
        <v>2</v>
      </c>
      <c r="B7" s="11" t="s">
        <v>4</v>
      </c>
      <c r="C7" s="144" t="str">
        <f>VLOOKUP(H5,'Raw Data'!A:BX,4,FALSE)</f>
        <v>616 - CC HISTORICAL FUND</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0</v>
      </c>
      <c r="E21" s="121">
        <f>SUM(E17)</f>
        <v>0</v>
      </c>
      <c r="F21" s="68">
        <f>SUM(F18:F19)</f>
        <v>0</v>
      </c>
      <c r="G21" s="68">
        <f>SUM(G20)</f>
        <v>0</v>
      </c>
      <c r="H21" s="68">
        <f>SUM(D21:G21)</f>
        <v>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0</v>
      </c>
      <c r="H25" s="128">
        <f>+H21-H24</f>
        <v>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2334962000</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2334962000</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0</v>
      </c>
      <c r="E35" s="72">
        <f>IF(D25&lt;&gt;0,+INT(E25/$H$32*10000000)/10000000,IF(VLOOKUP(H5,'Raw Data'!A:BX,37,FALSE) = "", 0, VLOOKUP(H5,'Raw Data'!A:BX,37,FALSE)/1000))</f>
        <v>5.9999999999999995E-5</v>
      </c>
      <c r="F35" s="72">
        <f>IF(D25&lt;&gt;0,+INT(F25/$H$32*10000000)/10000000,IF(VLOOKUP(H5,'Raw Data'!A:BX,38,FALSE) = "", 0, VLOOKUP(H5,'Raw Data'!A:BX,38,FALSE)/1000))</f>
        <v>0</v>
      </c>
      <c r="G35" s="72">
        <f>+INT(G25/$H$32*10000000)/10000000</f>
        <v>0</v>
      </c>
      <c r="H35" s="143">
        <f>SUM(D35:G35)</f>
        <v>5.9999999999999995E-5</v>
      </c>
    </row>
    <row r="36" spans="1:8" ht="15" x14ac:dyDescent="0.2">
      <c r="A36" s="2">
        <f t="shared" ref="A36:A41" si="0">+A35+1</f>
        <v>19</v>
      </c>
      <c r="B36" s="21" t="s">
        <v>34</v>
      </c>
      <c r="C36" s="21"/>
      <c r="D36" s="76">
        <f>$H$32*D35</f>
        <v>0</v>
      </c>
      <c r="E36" s="74">
        <f>+$H$32*E35</f>
        <v>140097.72</v>
      </c>
      <c r="F36" s="74">
        <f>+$H$32*F35</f>
        <v>0</v>
      </c>
      <c r="G36" s="74">
        <f>+$H$32*G35</f>
        <v>0</v>
      </c>
      <c r="H36" s="75">
        <f>SUM(D36:G36)</f>
        <v>140097.72</v>
      </c>
    </row>
    <row r="37" spans="1:8" ht="15" x14ac:dyDescent="0.2">
      <c r="A37" s="2">
        <f t="shared" si="0"/>
        <v>20</v>
      </c>
      <c r="B37" s="21" t="s">
        <v>35</v>
      </c>
      <c r="C37" s="21"/>
      <c r="D37" s="133">
        <f>IF(D25&lt;&gt;0,+D36-D25,0)</f>
        <v>0</v>
      </c>
      <c r="E37" s="134">
        <f>IF(E25&lt;&gt;0,+E36-E25,0)</f>
        <v>0</v>
      </c>
      <c r="F37" s="132">
        <f>IF(F25&lt;&gt;0,+F36-F25,0)</f>
        <v>0</v>
      </c>
      <c r="G37" s="132">
        <f>IF(G25&lt;&gt;0,+G36-G25,0)</f>
        <v>0</v>
      </c>
      <c r="H37" s="75">
        <f>SUM(D37:G37)</f>
        <v>0</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0</v>
      </c>
      <c r="E40" s="82">
        <f>E35</f>
        <v>5.9999999999999995E-5</v>
      </c>
      <c r="F40" s="82">
        <f>F35</f>
        <v>0</v>
      </c>
      <c r="G40" s="82">
        <f>G35</f>
        <v>0</v>
      </c>
      <c r="H40" s="73">
        <f t="shared" ref="H40:H46" si="1">SUM(D40:G40)</f>
        <v>5.9999999999999995E-5</v>
      </c>
    </row>
    <row r="41" spans="1:8" ht="15" x14ac:dyDescent="0.2">
      <c r="A41" s="2">
        <f t="shared" si="0"/>
        <v>24</v>
      </c>
      <c r="B41" s="21" t="s">
        <v>39</v>
      </c>
      <c r="C41" s="21"/>
      <c r="D41" s="76">
        <f>ROUND(+D40*$H$32,2)</f>
        <v>0</v>
      </c>
      <c r="E41" s="74">
        <f>ROUND(+E40*$H$32,2)</f>
        <v>140097.72</v>
      </c>
      <c r="F41" s="74">
        <f>ROUND(+F40*$H$32,2)</f>
        <v>0</v>
      </c>
      <c r="G41" s="74">
        <f>ROUND(+G40*$H$32,2)</f>
        <v>0</v>
      </c>
      <c r="H41" s="75">
        <f t="shared" si="1"/>
        <v>140097.72</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0</v>
      </c>
      <c r="E44" s="74">
        <f>SUM(E41:E43)</f>
        <v>140097.72</v>
      </c>
      <c r="F44" s="74">
        <f>SUM(F41:F43)</f>
        <v>0</v>
      </c>
      <c r="G44" s="136">
        <f>SUM(G41:G43)</f>
        <v>0</v>
      </c>
      <c r="H44" s="75">
        <f t="shared" si="1"/>
        <v>140097.72</v>
      </c>
    </row>
    <row r="45" spans="1:8" ht="15" x14ac:dyDescent="0.2">
      <c r="A45" s="2">
        <v>25</v>
      </c>
      <c r="B45" s="21" t="s">
        <v>46</v>
      </c>
      <c r="C45" s="21"/>
      <c r="D45" s="135">
        <f>VLOOKUP(H5,'Raw Data'!A:BX,58,FALSE)</f>
        <v>0</v>
      </c>
      <c r="E45" s="74">
        <f>IF(VLOOKUP(H5,'Raw Data'!A:BX,59,FALSE) = "", 0, VLOOKUP(H5,'Raw Data'!A:BX,59,FALSE))</f>
        <v>140097.72</v>
      </c>
      <c r="F45" s="74">
        <f>IF(VLOOKUP(H5,'Raw Data'!A:BX,60,FALSE) = "", 0, VLOOKUP(H5,'Raw Data'!A:BX,60,FALSE))</f>
        <v>0</v>
      </c>
      <c r="G45" s="136">
        <f>IF(VLOOKUP(H5,'Raw Data'!A:BX,61,FALSE) = "", 0, VLOOKUP(H5,'Raw Data'!A:BX,61,FALSE))</f>
        <v>0</v>
      </c>
      <c r="H45" s="75">
        <f t="shared" si="1"/>
        <v>140097.72</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0</v>
      </c>
      <c r="E47" s="86">
        <f>VLOOKUP(H5,'Raw Data'!A:BX,63,FALSE)</f>
        <v>-57.94</v>
      </c>
      <c r="F47" s="86">
        <f>VLOOKUP(H5,'Raw Data'!A:BX,64,FALSE)</f>
        <v>0</v>
      </c>
      <c r="G47" s="77"/>
      <c r="H47" s="87">
        <f>SUM(D47:F47)</f>
        <v>-57.94</v>
      </c>
    </row>
    <row r="48" spans="1:8" ht="16.5" thickBot="1" x14ac:dyDescent="0.3">
      <c r="A48" s="2">
        <f>+A47+1</f>
        <v>28</v>
      </c>
      <c r="B48" s="47" t="s">
        <v>49</v>
      </c>
      <c r="C48" s="47"/>
      <c r="D48" s="138">
        <f>SUM(D44,D46:D47)</f>
        <v>0</v>
      </c>
      <c r="E48" s="140">
        <f>SUM(E44,E46:E47)</f>
        <v>140039.78</v>
      </c>
      <c r="F48" s="140">
        <f>SUM(F44,F46:F47)</f>
        <v>0</v>
      </c>
      <c r="G48" s="139">
        <f>SUM(G44,G46:G47)</f>
        <v>0</v>
      </c>
      <c r="H48" s="266">
        <f>SUM(D48:G48)</f>
        <v>140039.78</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243.36</v>
      </c>
      <c r="H51" s="92">
        <f>G51</f>
        <v>243.36</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160.61000000000001</v>
      </c>
      <c r="H59" s="104">
        <f t="shared" si="3"/>
        <v>160.61000000000001</v>
      </c>
    </row>
    <row r="60" spans="1:8" ht="17.25" thickTop="1" thickBot="1" x14ac:dyDescent="0.3">
      <c r="A60" s="2">
        <f t="shared" si="2"/>
        <v>38</v>
      </c>
      <c r="B60" s="47" t="s">
        <v>59</v>
      </c>
      <c r="C60" s="47"/>
      <c r="D60" s="105"/>
      <c r="E60" s="106"/>
      <c r="F60" s="107"/>
      <c r="G60" s="109">
        <f>SUM(G51:G59)</f>
        <v>403.97</v>
      </c>
      <c r="H60" s="142">
        <f>SUM(H51:H59)</f>
        <v>403.97</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0</v>
      </c>
      <c r="E62" s="141">
        <f>E48</f>
        <v>140039.78</v>
      </c>
      <c r="F62" s="141">
        <f>F48</f>
        <v>0</v>
      </c>
      <c r="G62" s="141">
        <f>G48+G60</f>
        <v>403.97</v>
      </c>
      <c r="H62" s="142">
        <f>H48+H60</f>
        <v>140443.75</v>
      </c>
    </row>
    <row r="63" spans="1:8" ht="16.5" thickTop="1" thickBot="1" x14ac:dyDescent="0.25">
      <c r="A63" s="2">
        <f>+A62+1</f>
        <v>40</v>
      </c>
      <c r="B63" s="110" t="s">
        <v>61</v>
      </c>
      <c r="C63" s="110"/>
      <c r="D63" s="111"/>
      <c r="E63" s="112"/>
      <c r="F63" s="112"/>
      <c r="G63" s="112"/>
      <c r="H63" s="113">
        <f>VLOOKUP(H5,'Raw Data'!A:BX,75,FALSE)</f>
        <v>4.3025683000000002E-3</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0" zoomScale="70" zoomScaleNormal="70" workbookViewId="0">
      <selection activeCell="H48" sqref="H48"/>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225</v>
      </c>
    </row>
    <row r="6" spans="1:8" ht="15.75" thickTop="1" x14ac:dyDescent="0.2">
      <c r="A6" s="2">
        <v>1</v>
      </c>
      <c r="B6" s="11" t="s">
        <v>3</v>
      </c>
      <c r="C6" s="150">
        <f>VLOOKUP(H5,'Raw Data'!A:BX,2,FALSE)</f>
        <v>70509000</v>
      </c>
      <c r="D6" s="12"/>
      <c r="E6" s="13"/>
      <c r="F6" s="2"/>
      <c r="G6" s="14"/>
      <c r="H6" s="14"/>
    </row>
    <row r="7" spans="1:8" ht="15" x14ac:dyDescent="0.2">
      <c r="A7" s="2">
        <v>2</v>
      </c>
      <c r="B7" s="11" t="s">
        <v>4</v>
      </c>
      <c r="C7" s="144" t="str">
        <f>VLOOKUP(H5,'Raw Data'!A:BX,4,FALSE)</f>
        <v>622 - HIGH DESERT ESD</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0</v>
      </c>
      <c r="E21" s="121">
        <f>SUM(E17)</f>
        <v>0</v>
      </c>
      <c r="F21" s="68">
        <f>SUM(F18:F19)</f>
        <v>0</v>
      </c>
      <c r="G21" s="68">
        <f>SUM(G20)</f>
        <v>0</v>
      </c>
      <c r="H21" s="68">
        <f>SUM(D21:G21)</f>
        <v>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0</v>
      </c>
      <c r="H25" s="128">
        <f>+H21-H24</f>
        <v>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2334962000</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2334962000</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9.6399999999999999E-5</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0</v>
      </c>
      <c r="H35" s="143">
        <f>SUM(D35:G35)</f>
        <v>9.6399999999999999E-5</v>
      </c>
    </row>
    <row r="36" spans="1:8" ht="15" x14ac:dyDescent="0.2">
      <c r="A36" s="2">
        <f t="shared" ref="A36:A41" si="0">+A35+1</f>
        <v>19</v>
      </c>
      <c r="B36" s="21" t="s">
        <v>34</v>
      </c>
      <c r="C36" s="21"/>
      <c r="D36" s="76">
        <f>$H$32*D35</f>
        <v>225090.33679999999</v>
      </c>
      <c r="E36" s="74">
        <f>+$H$32*E35</f>
        <v>0</v>
      </c>
      <c r="F36" s="74">
        <f>+$H$32*F35</f>
        <v>0</v>
      </c>
      <c r="G36" s="74">
        <f>+$H$32*G35</f>
        <v>0</v>
      </c>
      <c r="H36" s="75">
        <f>SUM(D36:G36)</f>
        <v>225090.33679999999</v>
      </c>
    </row>
    <row r="37" spans="1:8" ht="15" x14ac:dyDescent="0.2">
      <c r="A37" s="2">
        <f t="shared" si="0"/>
        <v>20</v>
      </c>
      <c r="B37" s="21" t="s">
        <v>35</v>
      </c>
      <c r="C37" s="21"/>
      <c r="D37" s="133">
        <f>IF(D25&lt;&gt;0,+D36-D25,0)</f>
        <v>0</v>
      </c>
      <c r="E37" s="134">
        <f>IF(E25&lt;&gt;0,+E36-E25,0)</f>
        <v>0</v>
      </c>
      <c r="F37" s="132">
        <f>IF(F25&lt;&gt;0,+F36-F25,0)</f>
        <v>0</v>
      </c>
      <c r="G37" s="132">
        <f>IF(G25&lt;&gt;0,+G36-G25,0)</f>
        <v>0</v>
      </c>
      <c r="H37" s="75">
        <f>SUM(D37:G37)</f>
        <v>0</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9.6399999999999999E-5</v>
      </c>
      <c r="E40" s="82">
        <f>E35</f>
        <v>0</v>
      </c>
      <c r="F40" s="82">
        <f>F35</f>
        <v>0</v>
      </c>
      <c r="G40" s="82">
        <f>G35</f>
        <v>0</v>
      </c>
      <c r="H40" s="73">
        <f t="shared" ref="H40:H46" si="1">SUM(D40:G40)</f>
        <v>9.6399999999999999E-5</v>
      </c>
    </row>
    <row r="41" spans="1:8" ht="15" x14ac:dyDescent="0.2">
      <c r="A41" s="2">
        <f t="shared" si="0"/>
        <v>24</v>
      </c>
      <c r="B41" s="21" t="s">
        <v>39</v>
      </c>
      <c r="C41" s="21"/>
      <c r="D41" s="76">
        <f>ROUND(+D40*$H$32,2)</f>
        <v>225090.34</v>
      </c>
      <c r="E41" s="74">
        <f>ROUND(+E40*$H$32,2)</f>
        <v>0</v>
      </c>
      <c r="F41" s="74">
        <f>ROUND(+F40*$H$32,2)</f>
        <v>0</v>
      </c>
      <c r="G41" s="74">
        <f>ROUND(+G40*$H$32,2)</f>
        <v>0</v>
      </c>
      <c r="H41" s="75">
        <f t="shared" si="1"/>
        <v>225090.34</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225090.34</v>
      </c>
      <c r="E44" s="74">
        <f>SUM(E41:E43)</f>
        <v>0</v>
      </c>
      <c r="F44" s="74">
        <f>SUM(F41:F43)</f>
        <v>0</v>
      </c>
      <c r="G44" s="136">
        <f>SUM(G41:G43)</f>
        <v>0</v>
      </c>
      <c r="H44" s="75">
        <f t="shared" si="1"/>
        <v>225090.34</v>
      </c>
    </row>
    <row r="45" spans="1:8" ht="15" x14ac:dyDescent="0.2">
      <c r="A45" s="2">
        <v>25</v>
      </c>
      <c r="B45" s="21" t="s">
        <v>46</v>
      </c>
      <c r="C45" s="21"/>
      <c r="D45" s="135">
        <f>VLOOKUP(H5,'Raw Data'!A:BX,58,FALSE)</f>
        <v>225090.34</v>
      </c>
      <c r="E45" s="74">
        <f>IF(VLOOKUP(H5,'Raw Data'!A:BX,59,FALSE) = "", 0, VLOOKUP(H5,'Raw Data'!A:BX,59,FALSE))</f>
        <v>0</v>
      </c>
      <c r="F45" s="74">
        <f>IF(VLOOKUP(H5,'Raw Data'!A:BX,60,FALSE) = "", 0, VLOOKUP(H5,'Raw Data'!A:BX,60,FALSE))</f>
        <v>0</v>
      </c>
      <c r="G45" s="136">
        <f>IF(VLOOKUP(H5,'Raw Data'!A:BX,61,FALSE) = "", 0, VLOOKUP(H5,'Raw Data'!A:BX,61,FALSE))</f>
        <v>0</v>
      </c>
      <c r="H45" s="75">
        <f t="shared" si="1"/>
        <v>225090.34</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-2966.18</v>
      </c>
      <c r="E47" s="86">
        <f>VLOOKUP(H5,'Raw Data'!A:BX,63,FALSE)</f>
        <v>0</v>
      </c>
      <c r="F47" s="86">
        <f>VLOOKUP(H5,'Raw Data'!A:BX,64,FALSE)</f>
        <v>0</v>
      </c>
      <c r="G47" s="77"/>
      <c r="H47" s="87">
        <f>SUM(D47:F47)</f>
        <v>-2966.18</v>
      </c>
    </row>
    <row r="48" spans="1:8" ht="16.5" thickBot="1" x14ac:dyDescent="0.3">
      <c r="A48" s="2">
        <f>+A47+1</f>
        <v>28</v>
      </c>
      <c r="B48" s="47" t="s">
        <v>49</v>
      </c>
      <c r="C48" s="47"/>
      <c r="D48" s="138">
        <f>SUM(D44,D46:D47)</f>
        <v>222124.16</v>
      </c>
      <c r="E48" s="140">
        <f>SUM(E44,E46:E47)</f>
        <v>0</v>
      </c>
      <c r="F48" s="140">
        <f>SUM(F44,F46:F47)</f>
        <v>0</v>
      </c>
      <c r="G48" s="139">
        <f>SUM(G44,G46:G47)</f>
        <v>0</v>
      </c>
      <c r="H48" s="266">
        <f>SUM(D48:G48)</f>
        <v>222124.16</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391</v>
      </c>
      <c r="H51" s="92">
        <f>G51</f>
        <v>391</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258.01</v>
      </c>
      <c r="H59" s="104">
        <f t="shared" si="3"/>
        <v>258.01</v>
      </c>
    </row>
    <row r="60" spans="1:8" ht="17.25" thickTop="1" thickBot="1" x14ac:dyDescent="0.3">
      <c r="A60" s="2">
        <f t="shared" si="2"/>
        <v>38</v>
      </c>
      <c r="B60" s="47" t="s">
        <v>59</v>
      </c>
      <c r="C60" s="47"/>
      <c r="D60" s="105"/>
      <c r="E60" s="106"/>
      <c r="F60" s="107"/>
      <c r="G60" s="109">
        <f>SUM(G51:G59)</f>
        <v>649.01</v>
      </c>
      <c r="H60" s="142">
        <f>SUM(H51:H59)</f>
        <v>649.01</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222124.16</v>
      </c>
      <c r="E62" s="141">
        <f>E48</f>
        <v>0</v>
      </c>
      <c r="F62" s="141">
        <f>F48</f>
        <v>0</v>
      </c>
      <c r="G62" s="141">
        <f>G48+G60</f>
        <v>649.01</v>
      </c>
      <c r="H62" s="142">
        <f>H48+H60</f>
        <v>222773.17</v>
      </c>
    </row>
    <row r="63" spans="1:8" ht="16.5" thickTop="1" thickBot="1" x14ac:dyDescent="0.25">
      <c r="A63" s="2">
        <f>+A62+1</f>
        <v>40</v>
      </c>
      <c r="B63" s="110" t="s">
        <v>61</v>
      </c>
      <c r="C63" s="110"/>
      <c r="D63" s="111"/>
      <c r="E63" s="112"/>
      <c r="F63" s="112"/>
      <c r="G63" s="112"/>
      <c r="H63" s="113">
        <f>VLOOKUP(H5,'Raw Data'!A:BX,75,FALSE)</f>
        <v>6.8247734999999999E-3</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3" zoomScale="70" zoomScaleNormal="70" workbookViewId="0">
      <selection activeCell="H48" sqref="H48"/>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226</v>
      </c>
    </row>
    <row r="6" spans="1:8" ht="15.75" thickTop="1" x14ac:dyDescent="0.2">
      <c r="A6" s="2">
        <v>1</v>
      </c>
      <c r="B6" s="11" t="s">
        <v>3</v>
      </c>
      <c r="C6" s="150">
        <f>VLOOKUP(H5,'Raw Data'!A:BX,2,FALSE)</f>
        <v>70025900</v>
      </c>
      <c r="D6" s="12"/>
      <c r="E6" s="13"/>
      <c r="F6" s="2"/>
      <c r="G6" s="14"/>
      <c r="H6" s="14"/>
    </row>
    <row r="7" spans="1:8" ht="15" x14ac:dyDescent="0.2">
      <c r="A7" s="2">
        <v>2</v>
      </c>
      <c r="B7" s="11" t="s">
        <v>4</v>
      </c>
      <c r="C7" s="144" t="str">
        <f>VLOOKUP(H5,'Raw Data'!A:BX,4,FALSE)</f>
        <v>630 - REDMOND FIRE &amp; RESCUE</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0</v>
      </c>
      <c r="E21" s="121">
        <f>SUM(E17)</f>
        <v>0</v>
      </c>
      <c r="F21" s="68">
        <f>SUM(F18:F19)</f>
        <v>0</v>
      </c>
      <c r="G21" s="68">
        <f>SUM(G20)</f>
        <v>0</v>
      </c>
      <c r="H21" s="68">
        <f>SUM(D21:G21)</f>
        <v>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0</v>
      </c>
      <c r="H25" s="128">
        <f>+H21-H24</f>
        <v>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496375</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496375</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1.7542E-3</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0</v>
      </c>
      <c r="H35" s="143">
        <f>SUM(D35:G35)</f>
        <v>1.7542E-3</v>
      </c>
    </row>
    <row r="36" spans="1:8" ht="15" x14ac:dyDescent="0.2">
      <c r="A36" s="2">
        <f t="shared" ref="A36:A41" si="0">+A35+1</f>
        <v>19</v>
      </c>
      <c r="B36" s="21" t="s">
        <v>34</v>
      </c>
      <c r="C36" s="21"/>
      <c r="D36" s="76">
        <f>$H$32*D35</f>
        <v>870.74102500000004</v>
      </c>
      <c r="E36" s="74">
        <f>+$H$32*E35</f>
        <v>0</v>
      </c>
      <c r="F36" s="74">
        <f>+$H$32*F35</f>
        <v>0</v>
      </c>
      <c r="G36" s="74">
        <f>+$H$32*G35</f>
        <v>0</v>
      </c>
      <c r="H36" s="75">
        <f>SUM(D36:G36)</f>
        <v>870.74102500000004</v>
      </c>
    </row>
    <row r="37" spans="1:8" ht="15" x14ac:dyDescent="0.2">
      <c r="A37" s="2">
        <f t="shared" si="0"/>
        <v>20</v>
      </c>
      <c r="B37" s="21" t="s">
        <v>35</v>
      </c>
      <c r="C37" s="21"/>
      <c r="D37" s="133">
        <f>IF(D25&lt;&gt;0,+D36-D25,0)</f>
        <v>0</v>
      </c>
      <c r="E37" s="134">
        <f>IF(E25&lt;&gt;0,+E36-E25,0)</f>
        <v>0</v>
      </c>
      <c r="F37" s="132">
        <f>IF(F25&lt;&gt;0,+F36-F25,0)</f>
        <v>0</v>
      </c>
      <c r="G37" s="132">
        <f>IF(G25&lt;&gt;0,+G36-G25,0)</f>
        <v>0</v>
      </c>
      <c r="H37" s="75">
        <f>SUM(D37:G37)</f>
        <v>0</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1.7542E-3</v>
      </c>
      <c r="E40" s="82">
        <f>E35</f>
        <v>0</v>
      </c>
      <c r="F40" s="82">
        <f>F35</f>
        <v>0</v>
      </c>
      <c r="G40" s="82">
        <f>G35</f>
        <v>0</v>
      </c>
      <c r="H40" s="73">
        <f t="shared" ref="H40:H46" si="1">SUM(D40:G40)</f>
        <v>1.7542E-3</v>
      </c>
    </row>
    <row r="41" spans="1:8" ht="15" x14ac:dyDescent="0.2">
      <c r="A41" s="2">
        <f t="shared" si="0"/>
        <v>24</v>
      </c>
      <c r="B41" s="21" t="s">
        <v>39</v>
      </c>
      <c r="C41" s="21"/>
      <c r="D41" s="76">
        <f>ROUND(+D40*$H$32,2)</f>
        <v>870.74</v>
      </c>
      <c r="E41" s="74">
        <f>ROUND(+E40*$H$32,2)</f>
        <v>0</v>
      </c>
      <c r="F41" s="74">
        <f>ROUND(+F40*$H$32,2)</f>
        <v>0</v>
      </c>
      <c r="G41" s="74">
        <f>ROUND(+G40*$H$32,2)</f>
        <v>0</v>
      </c>
      <c r="H41" s="75">
        <f t="shared" si="1"/>
        <v>870.74</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870.74</v>
      </c>
      <c r="E44" s="74">
        <f>SUM(E41:E43)</f>
        <v>0</v>
      </c>
      <c r="F44" s="74">
        <f>SUM(F41:F43)</f>
        <v>0</v>
      </c>
      <c r="G44" s="136">
        <f>SUM(G41:G43)</f>
        <v>0</v>
      </c>
      <c r="H44" s="75">
        <f t="shared" si="1"/>
        <v>870.74</v>
      </c>
    </row>
    <row r="45" spans="1:8" ht="15" x14ac:dyDescent="0.2">
      <c r="A45" s="2">
        <v>25</v>
      </c>
      <c r="B45" s="21" t="s">
        <v>46</v>
      </c>
      <c r="C45" s="21"/>
      <c r="D45" s="135">
        <f>VLOOKUP(H5,'Raw Data'!A:BX,58,FALSE)</f>
        <v>870.74</v>
      </c>
      <c r="E45" s="74">
        <f>IF(VLOOKUP(H5,'Raw Data'!A:BX,59,FALSE) = "", 0, VLOOKUP(H5,'Raw Data'!A:BX,59,FALSE))</f>
        <v>0</v>
      </c>
      <c r="F45" s="74">
        <f>IF(VLOOKUP(H5,'Raw Data'!A:BX,60,FALSE) = "", 0, VLOOKUP(H5,'Raw Data'!A:BX,60,FALSE))</f>
        <v>0</v>
      </c>
      <c r="G45" s="136">
        <f>IF(VLOOKUP(H5,'Raw Data'!A:BX,61,FALSE) = "", 0, VLOOKUP(H5,'Raw Data'!A:BX,61,FALSE))</f>
        <v>0</v>
      </c>
      <c r="H45" s="75">
        <f t="shared" si="1"/>
        <v>870.74</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0</v>
      </c>
      <c r="E47" s="86">
        <f>VLOOKUP(H5,'Raw Data'!A:BX,63,FALSE)</f>
        <v>0</v>
      </c>
      <c r="F47" s="86">
        <f>VLOOKUP(H5,'Raw Data'!A:BX,64,FALSE)</f>
        <v>0</v>
      </c>
      <c r="G47" s="77"/>
      <c r="H47" s="87">
        <f>SUM(D47:F47)</f>
        <v>0</v>
      </c>
    </row>
    <row r="48" spans="1:8" ht="16.5" thickBot="1" x14ac:dyDescent="0.3">
      <c r="A48" s="2">
        <f>+A47+1</f>
        <v>28</v>
      </c>
      <c r="B48" s="47" t="s">
        <v>49</v>
      </c>
      <c r="C48" s="47"/>
      <c r="D48" s="138">
        <f>SUM(D44,D46:D47)</f>
        <v>870.74</v>
      </c>
      <c r="E48" s="140">
        <f>SUM(E44,E46:E47)</f>
        <v>0</v>
      </c>
      <c r="F48" s="140">
        <f>SUM(F44,F46:F47)</f>
        <v>0</v>
      </c>
      <c r="G48" s="139">
        <f>SUM(G44,G46:G47)</f>
        <v>0</v>
      </c>
      <c r="H48" s="266">
        <f>SUM(D48:G48)</f>
        <v>870.74</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0</v>
      </c>
      <c r="H51" s="92">
        <f>G51</f>
        <v>0</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0</v>
      </c>
      <c r="H59" s="104">
        <f t="shared" si="3"/>
        <v>0</v>
      </c>
    </row>
    <row r="60" spans="1:8" ht="17.25" thickTop="1" thickBot="1" x14ac:dyDescent="0.3">
      <c r="A60" s="2">
        <f t="shared" si="2"/>
        <v>38</v>
      </c>
      <c r="B60" s="47" t="s">
        <v>59</v>
      </c>
      <c r="C60" s="47"/>
      <c r="D60" s="105"/>
      <c r="E60" s="106"/>
      <c r="F60" s="107"/>
      <c r="G60" s="109">
        <f>SUM(G51:G59)</f>
        <v>0</v>
      </c>
      <c r="H60" s="142">
        <f>SUM(H51:H59)</f>
        <v>0</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870.74</v>
      </c>
      <c r="E62" s="141">
        <f>E48</f>
        <v>0</v>
      </c>
      <c r="F62" s="141">
        <f>F48</f>
        <v>0</v>
      </c>
      <c r="G62" s="141">
        <f>G48+G60</f>
        <v>0</v>
      </c>
      <c r="H62" s="142">
        <f>H48+H60</f>
        <v>870.74</v>
      </c>
    </row>
    <row r="63" spans="1:8" ht="16.5" thickTop="1" thickBot="1" x14ac:dyDescent="0.25">
      <c r="A63" s="2">
        <f>+A62+1</f>
        <v>40</v>
      </c>
      <c r="B63" s="110" t="s">
        <v>61</v>
      </c>
      <c r="C63" s="110"/>
      <c r="D63" s="111"/>
      <c r="E63" s="112"/>
      <c r="F63" s="112"/>
      <c r="G63" s="112"/>
      <c r="H63" s="113">
        <f>VLOOKUP(H5,'Raw Data'!A:BX,75,FALSE)</f>
        <v>2.6675599999999999E-5</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0" zoomScale="70" zoomScaleNormal="70" workbookViewId="0">
      <selection activeCell="H48" sqref="H48"/>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227</v>
      </c>
    </row>
    <row r="6" spans="1:8" ht="15.75" thickTop="1" x14ac:dyDescent="0.2">
      <c r="A6" s="2">
        <v>1</v>
      </c>
      <c r="B6" s="11" t="s">
        <v>3</v>
      </c>
      <c r="C6" s="150">
        <f>VLOOKUP(H5,'Raw Data'!A:BX,2,FALSE)</f>
        <v>70049960</v>
      </c>
      <c r="D6" s="12"/>
      <c r="E6" s="13"/>
      <c r="F6" s="2"/>
      <c r="G6" s="14"/>
      <c r="H6" s="14"/>
    </row>
    <row r="7" spans="1:8" ht="15" x14ac:dyDescent="0.2">
      <c r="A7" s="2">
        <v>2</v>
      </c>
      <c r="B7" s="11" t="s">
        <v>4</v>
      </c>
      <c r="C7" s="144" t="str">
        <f>VLOOKUP(H5,'Raw Data'!A:BX,4,FALSE)</f>
        <v>631 - CCFR TAXING ZONE 1</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0</v>
      </c>
      <c r="E21" s="121">
        <f>SUM(E17)</f>
        <v>0</v>
      </c>
      <c r="F21" s="68">
        <f>SUM(F18:F19)</f>
        <v>0</v>
      </c>
      <c r="G21" s="68">
        <f>SUM(G20)</f>
        <v>0</v>
      </c>
      <c r="H21" s="68">
        <f>SUM(D21:G21)</f>
        <v>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0</v>
      </c>
      <c r="H25" s="128">
        <f>+H21-H24</f>
        <v>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2191538500</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2191538500</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1.5900000000000001E-3</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0</v>
      </c>
      <c r="H35" s="143">
        <f>SUM(D35:G35)</f>
        <v>1.5900000000000001E-3</v>
      </c>
    </row>
    <row r="36" spans="1:8" ht="15" x14ac:dyDescent="0.2">
      <c r="A36" s="2">
        <f t="shared" ref="A36:A41" si="0">+A35+1</f>
        <v>19</v>
      </c>
      <c r="B36" s="21" t="s">
        <v>34</v>
      </c>
      <c r="C36" s="21"/>
      <c r="D36" s="76">
        <f>$H$32*D35</f>
        <v>3484546.2150000003</v>
      </c>
      <c r="E36" s="74">
        <f>+$H$32*E35</f>
        <v>0</v>
      </c>
      <c r="F36" s="74">
        <f>+$H$32*F35</f>
        <v>0</v>
      </c>
      <c r="G36" s="74">
        <f>+$H$32*G35</f>
        <v>0</v>
      </c>
      <c r="H36" s="75">
        <f>SUM(D36:G36)</f>
        <v>3484546.2150000003</v>
      </c>
    </row>
    <row r="37" spans="1:8" ht="15" x14ac:dyDescent="0.2">
      <c r="A37" s="2">
        <f t="shared" si="0"/>
        <v>20</v>
      </c>
      <c r="B37" s="21" t="s">
        <v>35</v>
      </c>
      <c r="C37" s="21"/>
      <c r="D37" s="133">
        <f>IF(D25&lt;&gt;0,+D36-D25,0)</f>
        <v>0</v>
      </c>
      <c r="E37" s="134">
        <f>IF(E25&lt;&gt;0,+E36-E25,0)</f>
        <v>0</v>
      </c>
      <c r="F37" s="132">
        <f>IF(F25&lt;&gt;0,+F36-F25,0)</f>
        <v>0</v>
      </c>
      <c r="G37" s="132">
        <f>IF(G25&lt;&gt;0,+G36-G25,0)</f>
        <v>0</v>
      </c>
      <c r="H37" s="75">
        <f>SUM(D37:G37)</f>
        <v>0</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1.5900000000000001E-3</v>
      </c>
      <c r="E40" s="82">
        <f>E35</f>
        <v>0</v>
      </c>
      <c r="F40" s="82">
        <f>F35</f>
        <v>0</v>
      </c>
      <c r="G40" s="82">
        <f>G35</f>
        <v>0</v>
      </c>
      <c r="H40" s="73">
        <f t="shared" ref="H40:H46" si="1">SUM(D40:G40)</f>
        <v>1.5900000000000001E-3</v>
      </c>
    </row>
    <row r="41" spans="1:8" ht="15" x14ac:dyDescent="0.2">
      <c r="A41" s="2">
        <f t="shared" si="0"/>
        <v>24</v>
      </c>
      <c r="B41" s="21" t="s">
        <v>39</v>
      </c>
      <c r="C41" s="21"/>
      <c r="D41" s="76">
        <f>ROUND(+D40*$H$32,2)</f>
        <v>3484546.22</v>
      </c>
      <c r="E41" s="74">
        <f>ROUND(+E40*$H$32,2)</f>
        <v>0</v>
      </c>
      <c r="F41" s="74">
        <f>ROUND(+F40*$H$32,2)</f>
        <v>0</v>
      </c>
      <c r="G41" s="74">
        <f>ROUND(+G40*$H$32,2)</f>
        <v>0</v>
      </c>
      <c r="H41" s="75">
        <f t="shared" si="1"/>
        <v>3484546.22</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3484546.22</v>
      </c>
      <c r="E44" s="74">
        <f>SUM(E41:E43)</f>
        <v>0</v>
      </c>
      <c r="F44" s="74">
        <f>SUM(F41:F43)</f>
        <v>0</v>
      </c>
      <c r="G44" s="136">
        <f>SUM(G41:G43)</f>
        <v>0</v>
      </c>
      <c r="H44" s="75">
        <f t="shared" si="1"/>
        <v>3484546.22</v>
      </c>
    </row>
    <row r="45" spans="1:8" ht="15" x14ac:dyDescent="0.2">
      <c r="A45" s="2">
        <v>25</v>
      </c>
      <c r="B45" s="21" t="s">
        <v>46</v>
      </c>
      <c r="C45" s="21"/>
      <c r="D45" s="135">
        <f>VLOOKUP(H5,'Raw Data'!A:BX,58,FALSE)</f>
        <v>3484546.22</v>
      </c>
      <c r="E45" s="74">
        <f>IF(VLOOKUP(H5,'Raw Data'!A:BX,59,FALSE) = "", 0, VLOOKUP(H5,'Raw Data'!A:BX,59,FALSE))</f>
        <v>0</v>
      </c>
      <c r="F45" s="74">
        <f>IF(VLOOKUP(H5,'Raw Data'!A:BX,60,FALSE) = "", 0, VLOOKUP(H5,'Raw Data'!A:BX,60,FALSE))</f>
        <v>0</v>
      </c>
      <c r="G45" s="136">
        <f>IF(VLOOKUP(H5,'Raw Data'!A:BX,61,FALSE) = "", 0, VLOOKUP(H5,'Raw Data'!A:BX,61,FALSE))</f>
        <v>0</v>
      </c>
      <c r="H45" s="75">
        <f t="shared" si="1"/>
        <v>3484546.22</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-88.96</v>
      </c>
      <c r="E47" s="86">
        <f>VLOOKUP(H5,'Raw Data'!A:BX,63,FALSE)</f>
        <v>0</v>
      </c>
      <c r="F47" s="86">
        <f>VLOOKUP(H5,'Raw Data'!A:BX,64,FALSE)</f>
        <v>0</v>
      </c>
      <c r="G47" s="77"/>
      <c r="H47" s="87">
        <f>SUM(D47:F47)</f>
        <v>-88.96</v>
      </c>
    </row>
    <row r="48" spans="1:8" ht="16.5" thickBot="1" x14ac:dyDescent="0.3">
      <c r="A48" s="2">
        <f>+A47+1</f>
        <v>28</v>
      </c>
      <c r="B48" s="47" t="s">
        <v>49</v>
      </c>
      <c r="C48" s="47"/>
      <c r="D48" s="138">
        <f>SUM(D44,D46:D47)</f>
        <v>3484457.2600000002</v>
      </c>
      <c r="E48" s="140">
        <f>SUM(E44,E46:E47)</f>
        <v>0</v>
      </c>
      <c r="F48" s="140">
        <f>SUM(F44,F46:F47)</f>
        <v>0</v>
      </c>
      <c r="G48" s="139">
        <f>SUM(G44,G46:G47)</f>
        <v>0</v>
      </c>
      <c r="H48" s="266">
        <f>SUM(D48:G48)</f>
        <v>3484457.2600000002</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6448.98</v>
      </c>
      <c r="H51" s="92">
        <f>G51</f>
        <v>6448.98</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3888.22</v>
      </c>
      <c r="H59" s="104">
        <f t="shared" si="3"/>
        <v>3888.22</v>
      </c>
    </row>
    <row r="60" spans="1:8" ht="17.25" thickTop="1" thickBot="1" x14ac:dyDescent="0.3">
      <c r="A60" s="2">
        <f t="shared" si="2"/>
        <v>38</v>
      </c>
      <c r="B60" s="47" t="s">
        <v>59</v>
      </c>
      <c r="C60" s="47"/>
      <c r="D60" s="105"/>
      <c r="E60" s="106"/>
      <c r="F60" s="107"/>
      <c r="G60" s="109">
        <f>SUM(G51:G59)</f>
        <v>10337.199999999999</v>
      </c>
      <c r="H60" s="142">
        <f>SUM(H51:H59)</f>
        <v>10337.199999999999</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3484457.2600000002</v>
      </c>
      <c r="E62" s="141">
        <f>E48</f>
        <v>0</v>
      </c>
      <c r="F62" s="141">
        <f>F48</f>
        <v>0</v>
      </c>
      <c r="G62" s="141">
        <f>G48+G60</f>
        <v>10337.199999999999</v>
      </c>
      <c r="H62" s="142">
        <f>H48+H60</f>
        <v>3494794.4600000004</v>
      </c>
    </row>
    <row r="63" spans="1:8" ht="16.5" thickTop="1" thickBot="1" x14ac:dyDescent="0.25">
      <c r="A63" s="2">
        <f>+A62+1</f>
        <v>40</v>
      </c>
      <c r="B63" s="110" t="s">
        <v>61</v>
      </c>
      <c r="C63" s="110"/>
      <c r="D63" s="111"/>
      <c r="E63" s="112"/>
      <c r="F63" s="112"/>
      <c r="G63" s="112"/>
      <c r="H63" s="113">
        <f>VLOOKUP(H5,'Raw Data'!A:BX,75,FALSE)</f>
        <v>0.10706487119999999</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3" zoomScale="70" zoomScaleNormal="70" workbookViewId="0">
      <selection activeCell="H48" sqref="H48"/>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228</v>
      </c>
    </row>
    <row r="6" spans="1:8" ht="15.75" thickTop="1" x14ac:dyDescent="0.2">
      <c r="A6" s="2">
        <v>1</v>
      </c>
      <c r="B6" s="11" t="s">
        <v>3</v>
      </c>
      <c r="C6" s="150">
        <f>VLOOKUP(H5,'Raw Data'!A:BX,2,FALSE)</f>
        <v>70003750</v>
      </c>
      <c r="D6" s="12"/>
      <c r="E6" s="13"/>
      <c r="F6" s="2"/>
      <c r="G6" s="14"/>
      <c r="H6" s="14"/>
    </row>
    <row r="7" spans="1:8" ht="15" x14ac:dyDescent="0.2">
      <c r="A7" s="2">
        <v>2</v>
      </c>
      <c r="B7" s="11" t="s">
        <v>4</v>
      </c>
      <c r="C7" s="144" t="str">
        <f>VLOOKUP(H5,'Raw Data'!A:BX,4,FALSE)</f>
        <v>635 - HAHLEN ROAD DISTRICT</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0</v>
      </c>
      <c r="E21" s="121">
        <f>SUM(E17)</f>
        <v>0</v>
      </c>
      <c r="F21" s="68">
        <f>SUM(F18:F19)</f>
        <v>0</v>
      </c>
      <c r="G21" s="68">
        <f>SUM(G20)</f>
        <v>0</v>
      </c>
      <c r="H21" s="68">
        <f>SUM(D21:G21)</f>
        <v>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0</v>
      </c>
      <c r="H25" s="128">
        <f>+H21-H24</f>
        <v>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22564738</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22564738</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8.4999999999999995E-4</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0</v>
      </c>
      <c r="H35" s="143">
        <f>SUM(D35:G35)</f>
        <v>8.4999999999999995E-4</v>
      </c>
    </row>
    <row r="36" spans="1:8" ht="15" x14ac:dyDescent="0.2">
      <c r="A36" s="2">
        <f t="shared" ref="A36:A41" si="0">+A35+1</f>
        <v>19</v>
      </c>
      <c r="B36" s="21" t="s">
        <v>34</v>
      </c>
      <c r="C36" s="21"/>
      <c r="D36" s="76">
        <f>$H$32*D35</f>
        <v>19180.027299999998</v>
      </c>
      <c r="E36" s="74">
        <f>+$H$32*E35</f>
        <v>0</v>
      </c>
      <c r="F36" s="74">
        <f>+$H$32*F35</f>
        <v>0</v>
      </c>
      <c r="G36" s="74">
        <f>+$H$32*G35</f>
        <v>0</v>
      </c>
      <c r="H36" s="75">
        <f>SUM(D36:G36)</f>
        <v>19180.027299999998</v>
      </c>
    </row>
    <row r="37" spans="1:8" ht="15" x14ac:dyDescent="0.2">
      <c r="A37" s="2">
        <f t="shared" si="0"/>
        <v>20</v>
      </c>
      <c r="B37" s="21" t="s">
        <v>35</v>
      </c>
      <c r="C37" s="21"/>
      <c r="D37" s="133">
        <f>IF(D25&lt;&gt;0,+D36-D25,0)</f>
        <v>0</v>
      </c>
      <c r="E37" s="134">
        <f>IF(E25&lt;&gt;0,+E36-E25,0)</f>
        <v>0</v>
      </c>
      <c r="F37" s="132">
        <f>IF(F25&lt;&gt;0,+F36-F25,0)</f>
        <v>0</v>
      </c>
      <c r="G37" s="132">
        <f>IF(G25&lt;&gt;0,+G36-G25,0)</f>
        <v>0</v>
      </c>
      <c r="H37" s="75">
        <f>SUM(D37:G37)</f>
        <v>0</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8.4999999999999995E-4</v>
      </c>
      <c r="E40" s="82">
        <f>E35</f>
        <v>0</v>
      </c>
      <c r="F40" s="82">
        <f>F35</f>
        <v>0</v>
      </c>
      <c r="G40" s="82">
        <f>G35</f>
        <v>0</v>
      </c>
      <c r="H40" s="73">
        <f t="shared" ref="H40:H46" si="1">SUM(D40:G40)</f>
        <v>8.4999999999999995E-4</v>
      </c>
    </row>
    <row r="41" spans="1:8" ht="15" x14ac:dyDescent="0.2">
      <c r="A41" s="2">
        <f t="shared" si="0"/>
        <v>24</v>
      </c>
      <c r="B41" s="21" t="s">
        <v>39</v>
      </c>
      <c r="C41" s="21"/>
      <c r="D41" s="76">
        <f>ROUND(+D40*$H$32,2)</f>
        <v>19180.03</v>
      </c>
      <c r="E41" s="74">
        <f>ROUND(+E40*$H$32,2)</f>
        <v>0</v>
      </c>
      <c r="F41" s="74">
        <f>ROUND(+F40*$H$32,2)</f>
        <v>0</v>
      </c>
      <c r="G41" s="74">
        <f>ROUND(+G40*$H$32,2)</f>
        <v>0</v>
      </c>
      <c r="H41" s="75">
        <f t="shared" si="1"/>
        <v>19180.03</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19180.03</v>
      </c>
      <c r="E44" s="74">
        <f>SUM(E41:E43)</f>
        <v>0</v>
      </c>
      <c r="F44" s="74">
        <f>SUM(F41:F43)</f>
        <v>0</v>
      </c>
      <c r="G44" s="136">
        <f>SUM(G41:G43)</f>
        <v>0</v>
      </c>
      <c r="H44" s="75">
        <f t="shared" si="1"/>
        <v>19180.03</v>
      </c>
    </row>
    <row r="45" spans="1:8" ht="15" x14ac:dyDescent="0.2">
      <c r="A45" s="2">
        <v>25</v>
      </c>
      <c r="B45" s="21" t="s">
        <v>46</v>
      </c>
      <c r="C45" s="21"/>
      <c r="D45" s="135">
        <f>VLOOKUP(H5,'Raw Data'!A:BX,58,FALSE)</f>
        <v>19180.03</v>
      </c>
      <c r="E45" s="74">
        <f>IF(VLOOKUP(H5,'Raw Data'!A:BX,59,FALSE) = "", 0, VLOOKUP(H5,'Raw Data'!A:BX,59,FALSE))</f>
        <v>0</v>
      </c>
      <c r="F45" s="74">
        <f>IF(VLOOKUP(H5,'Raw Data'!A:BX,60,FALSE) = "", 0, VLOOKUP(H5,'Raw Data'!A:BX,60,FALSE))</f>
        <v>0</v>
      </c>
      <c r="G45" s="136">
        <f>IF(VLOOKUP(H5,'Raw Data'!A:BX,61,FALSE) = "", 0, VLOOKUP(H5,'Raw Data'!A:BX,61,FALSE))</f>
        <v>0</v>
      </c>
      <c r="H45" s="75">
        <f t="shared" si="1"/>
        <v>19180.03</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0</v>
      </c>
      <c r="E47" s="86">
        <f>VLOOKUP(H5,'Raw Data'!A:BX,63,FALSE)</f>
        <v>0</v>
      </c>
      <c r="F47" s="86">
        <f>VLOOKUP(H5,'Raw Data'!A:BX,64,FALSE)</f>
        <v>0</v>
      </c>
      <c r="G47" s="77"/>
      <c r="H47" s="87">
        <f>SUM(D47:F47)</f>
        <v>0</v>
      </c>
    </row>
    <row r="48" spans="1:8" ht="16.5" thickBot="1" x14ac:dyDescent="0.3">
      <c r="A48" s="2">
        <f>+A47+1</f>
        <v>28</v>
      </c>
      <c r="B48" s="47" t="s">
        <v>49</v>
      </c>
      <c r="C48" s="47"/>
      <c r="D48" s="138">
        <f>SUM(D44,D46:D47)</f>
        <v>19180.03</v>
      </c>
      <c r="E48" s="140">
        <f>SUM(E44,E46:E47)</f>
        <v>0</v>
      </c>
      <c r="F48" s="140">
        <f>SUM(F44,F46:F47)</f>
        <v>0</v>
      </c>
      <c r="G48" s="139">
        <f>SUM(G44,G46:G47)</f>
        <v>0</v>
      </c>
      <c r="H48" s="266">
        <f>SUM(D48:G48)</f>
        <v>19180.03</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0</v>
      </c>
      <c r="H51" s="92">
        <f>G51</f>
        <v>0</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64.040000000000006</v>
      </c>
      <c r="H59" s="104">
        <f t="shared" si="3"/>
        <v>64.040000000000006</v>
      </c>
    </row>
    <row r="60" spans="1:8" ht="17.25" thickTop="1" thickBot="1" x14ac:dyDescent="0.3">
      <c r="A60" s="2">
        <f t="shared" si="2"/>
        <v>38</v>
      </c>
      <c r="B60" s="47" t="s">
        <v>59</v>
      </c>
      <c r="C60" s="47"/>
      <c r="D60" s="105"/>
      <c r="E60" s="106"/>
      <c r="F60" s="107"/>
      <c r="G60" s="109">
        <f>SUM(G51:G59)</f>
        <v>64.040000000000006</v>
      </c>
      <c r="H60" s="142">
        <f>SUM(H51:H59)</f>
        <v>64.040000000000006</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19180.03</v>
      </c>
      <c r="E62" s="141">
        <f>E48</f>
        <v>0</v>
      </c>
      <c r="F62" s="141">
        <f>F48</f>
        <v>0</v>
      </c>
      <c r="G62" s="141">
        <f>G48+G60</f>
        <v>64.040000000000006</v>
      </c>
      <c r="H62" s="142">
        <f>H48+H60</f>
        <v>19244.07</v>
      </c>
    </row>
    <row r="63" spans="1:8" ht="16.5" thickTop="1" thickBot="1" x14ac:dyDescent="0.25">
      <c r="A63" s="2">
        <f>+A62+1</f>
        <v>40</v>
      </c>
      <c r="B63" s="110" t="s">
        <v>61</v>
      </c>
      <c r="C63" s="110"/>
      <c r="D63" s="111"/>
      <c r="E63" s="112"/>
      <c r="F63" s="112"/>
      <c r="G63" s="112"/>
      <c r="H63" s="113">
        <f>VLOOKUP(H5,'Raw Data'!A:BX,75,FALSE)</f>
        <v>5.8955219999999998E-4</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8"/>
  <sheetViews>
    <sheetView topLeftCell="A13" zoomScale="70" zoomScaleNormal="70" workbookViewId="0">
      <selection activeCell="H48" sqref="H48"/>
    </sheetView>
  </sheetViews>
  <sheetFormatPr defaultRowHeight="12.75" x14ac:dyDescent="0.2"/>
  <cols>
    <col min="1" max="1" width="5.28515625" customWidth="1"/>
    <col min="2" max="2" width="34.42578125" customWidth="1"/>
    <col min="3" max="3" width="43.85546875" customWidth="1"/>
    <col min="4" max="4" width="24.140625" customWidth="1"/>
    <col min="5" max="5" width="24.140625" style="114" customWidth="1"/>
    <col min="6" max="8" width="24.140625" customWidth="1"/>
  </cols>
  <sheetData>
    <row r="1" spans="1:8" ht="20.25" x14ac:dyDescent="0.3">
      <c r="A1" s="1" t="s">
        <v>0</v>
      </c>
      <c r="B1" s="2"/>
      <c r="C1" s="1"/>
      <c r="E1" s="3"/>
      <c r="F1" s="2"/>
      <c r="G1" s="2"/>
      <c r="H1" s="2"/>
    </row>
    <row r="2" spans="1:8" ht="20.25" x14ac:dyDescent="0.3">
      <c r="A2" s="4" t="str">
        <f>'101 - Crook County'!A2</f>
        <v xml:space="preserve">                       Tax Year 2019-2020</v>
      </c>
      <c r="B2" s="1"/>
      <c r="C2" s="1"/>
      <c r="D2" s="2"/>
      <c r="E2" s="5"/>
      <c r="F2" s="2"/>
      <c r="G2" s="2"/>
      <c r="H2" s="2"/>
    </row>
    <row r="3" spans="1:8" ht="15" x14ac:dyDescent="0.2">
      <c r="A3" s="6" t="s">
        <v>1</v>
      </c>
      <c r="B3" s="7"/>
      <c r="C3" s="8"/>
      <c r="D3" s="2"/>
      <c r="E3" s="5"/>
      <c r="F3" s="2"/>
      <c r="G3" s="2"/>
      <c r="H3" s="2"/>
    </row>
    <row r="4" spans="1:8" ht="21" thickBot="1" x14ac:dyDescent="0.35">
      <c r="A4" s="9" t="s">
        <v>2</v>
      </c>
      <c r="B4" s="10"/>
      <c r="C4" s="10"/>
      <c r="D4" s="2"/>
      <c r="E4" s="5"/>
      <c r="F4" s="2"/>
      <c r="G4" s="2"/>
      <c r="H4" s="2"/>
    </row>
    <row r="5" spans="1:8" ht="15.75" thickBot="1" x14ac:dyDescent="0.25">
      <c r="A5" s="2"/>
      <c r="B5" s="2"/>
      <c r="C5" s="2"/>
      <c r="D5" s="2"/>
      <c r="E5" s="5"/>
      <c r="F5" s="2"/>
      <c r="G5" s="33" t="s">
        <v>66</v>
      </c>
      <c r="H5" s="115" t="s">
        <v>229</v>
      </c>
    </row>
    <row r="6" spans="1:8" ht="15.75" thickTop="1" x14ac:dyDescent="0.2">
      <c r="A6" s="2">
        <v>1</v>
      </c>
      <c r="B6" s="11" t="s">
        <v>3</v>
      </c>
      <c r="C6" s="150">
        <f>VLOOKUP(H5,'Raw Data'!A:BX,2,FALSE)</f>
        <v>70001310</v>
      </c>
      <c r="D6" s="12"/>
      <c r="E6" s="13"/>
      <c r="F6" s="2"/>
      <c r="G6" s="14"/>
      <c r="H6" s="14"/>
    </row>
    <row r="7" spans="1:8" ht="15" x14ac:dyDescent="0.2">
      <c r="A7" s="2">
        <v>2</v>
      </c>
      <c r="B7" s="11" t="s">
        <v>4</v>
      </c>
      <c r="C7" s="144" t="str">
        <f>VLOOKUP(H5,'Raw Data'!A:BX,4,FALSE)</f>
        <v>664 - CC PARKS &amp; REC DIST</v>
      </c>
      <c r="D7" s="15"/>
      <c r="E7" s="16"/>
      <c r="F7" s="2"/>
      <c r="G7" s="14"/>
      <c r="H7" s="14"/>
    </row>
    <row r="8" spans="1:8" ht="15.75" thickBot="1" x14ac:dyDescent="0.25">
      <c r="A8" s="2">
        <v>3</v>
      </c>
      <c r="B8" s="11" t="s">
        <v>5</v>
      </c>
      <c r="C8" s="149" t="str">
        <f>IF(VLOOKUP(H5,'Raw Data'!A:BX,76,FALSE)=0,"",VLOOKUP(H5,'Raw Data'!A:BX,76,FALSE))</f>
        <v/>
      </c>
      <c r="D8" s="17"/>
      <c r="E8" s="18"/>
      <c r="F8" s="14"/>
      <c r="G8" s="14"/>
      <c r="H8" s="14"/>
    </row>
    <row r="9" spans="1:8" ht="15.75" thickTop="1" x14ac:dyDescent="0.2">
      <c r="A9" s="2"/>
      <c r="B9" s="11" t="s">
        <v>6</v>
      </c>
      <c r="C9" s="11"/>
      <c r="D9" s="19"/>
      <c r="E9" s="20"/>
      <c r="F9" s="14"/>
      <c r="G9" s="14"/>
      <c r="H9" s="14"/>
    </row>
    <row r="10" spans="1:8" ht="15" x14ac:dyDescent="0.2">
      <c r="A10" s="2"/>
      <c r="B10" s="2"/>
      <c r="C10" s="2"/>
      <c r="D10" s="2"/>
      <c r="E10" s="5"/>
      <c r="F10" s="2"/>
      <c r="G10" s="2"/>
      <c r="H10" s="2"/>
    </row>
    <row r="11" spans="1:8" ht="15" x14ac:dyDescent="0.2">
      <c r="A11" s="2"/>
      <c r="B11" s="11"/>
      <c r="C11" s="11"/>
      <c r="D11" s="14"/>
      <c r="E11" s="20"/>
      <c r="F11" s="19" t="s">
        <v>7</v>
      </c>
      <c r="G11" s="14"/>
      <c r="H11" s="14"/>
    </row>
    <row r="12" spans="1:8" ht="15" x14ac:dyDescent="0.2">
      <c r="A12" s="2"/>
      <c r="B12" s="21"/>
      <c r="C12" s="21"/>
      <c r="D12" s="22" t="s">
        <v>8</v>
      </c>
      <c r="E12" s="23" t="s">
        <v>9</v>
      </c>
      <c r="F12" s="19" t="s">
        <v>10</v>
      </c>
      <c r="G12" s="19" t="s">
        <v>11</v>
      </c>
      <c r="H12" s="14"/>
    </row>
    <row r="13" spans="1:8" ht="15" x14ac:dyDescent="0.2">
      <c r="A13" s="2">
        <v>4</v>
      </c>
      <c r="B13" s="11" t="s">
        <v>12</v>
      </c>
      <c r="C13" s="11"/>
      <c r="D13" s="24"/>
      <c r="E13" s="148" t="str">
        <f>IF(VLOOKUP(H5,'Raw Data'!A:BX,5,FALSE)=0,"",VLOOKUP(H5,'Raw Data'!A:BX,5,FALSE))</f>
        <v/>
      </c>
      <c r="F13" s="26"/>
      <c r="G13" s="147" t="str">
        <f>IF(VLOOKUP(H5,'Raw Data'!A:BX,6,FALSE)=0, "",VLOOKUP(H5,'Raw Data'!A:BX,6,FALSE))</f>
        <v/>
      </c>
      <c r="H13" s="24"/>
    </row>
    <row r="14" spans="1:8" ht="15.75" x14ac:dyDescent="0.25">
      <c r="A14" s="2"/>
      <c r="B14" s="21"/>
      <c r="C14" s="21"/>
      <c r="D14" s="28" t="s">
        <v>13</v>
      </c>
      <c r="E14" s="29" t="s">
        <v>13</v>
      </c>
      <c r="F14" s="30" t="s">
        <v>13</v>
      </c>
      <c r="G14" s="30" t="s">
        <v>14</v>
      </c>
      <c r="H14" s="30" t="s">
        <v>15</v>
      </c>
    </row>
    <row r="15" spans="1:8" ht="16.5" thickBot="1" x14ac:dyDescent="0.3">
      <c r="A15" s="2"/>
      <c r="B15" s="29" t="s">
        <v>16</v>
      </c>
      <c r="C15" s="29"/>
      <c r="D15" s="31"/>
      <c r="E15" s="32"/>
      <c r="F15" s="31"/>
      <c r="G15" s="31"/>
      <c r="H15" s="31"/>
    </row>
    <row r="16" spans="1:8" ht="16.5" thickTop="1" x14ac:dyDescent="0.25">
      <c r="A16" s="33">
        <f>1+A13</f>
        <v>5</v>
      </c>
      <c r="B16" s="11" t="s">
        <v>17</v>
      </c>
      <c r="C16" s="29"/>
      <c r="D16" s="127">
        <f>VLOOKUP(H5,'Raw Data'!A:BX,21,FALSE)</f>
        <v>0</v>
      </c>
      <c r="E16" s="34"/>
      <c r="F16" s="35"/>
      <c r="G16" s="36"/>
      <c r="H16" s="122">
        <f>+D16</f>
        <v>0</v>
      </c>
    </row>
    <row r="17" spans="1:8" ht="15" x14ac:dyDescent="0.2">
      <c r="A17" s="2">
        <f>+A16+1</f>
        <v>6</v>
      </c>
      <c r="B17" s="21" t="s">
        <v>18</v>
      </c>
      <c r="C17" s="21"/>
      <c r="D17" s="37"/>
      <c r="E17" s="126">
        <f>VLOOKUP(H5,'Raw Data'!A:BX,22,FALSE)</f>
        <v>0</v>
      </c>
      <c r="F17" s="38"/>
      <c r="G17" s="39"/>
      <c r="H17" s="122">
        <f>+E17</f>
        <v>0</v>
      </c>
    </row>
    <row r="18" spans="1:8" ht="15" x14ac:dyDescent="0.2">
      <c r="A18" s="2">
        <f>+A17+1</f>
        <v>7</v>
      </c>
      <c r="B18" s="21" t="s">
        <v>19</v>
      </c>
      <c r="C18" s="21"/>
      <c r="D18" s="40"/>
      <c r="E18" s="41"/>
      <c r="F18" s="125">
        <f>VLOOKUP(H5,'Raw Data'!A:BX,23,FALSE)</f>
        <v>0</v>
      </c>
      <c r="G18" s="42"/>
      <c r="H18" s="123">
        <f>+F18</f>
        <v>0</v>
      </c>
    </row>
    <row r="19" spans="1:8" ht="15" x14ac:dyDescent="0.2">
      <c r="A19" s="2">
        <f>+A18+1</f>
        <v>8</v>
      </c>
      <c r="B19" s="21" t="s">
        <v>20</v>
      </c>
      <c r="C19" s="21"/>
      <c r="D19" s="40"/>
      <c r="E19" s="43"/>
      <c r="F19" s="124">
        <f>VLOOKUP(H5,'Raw Data'!A:BX,24,FALSE)</f>
        <v>0</v>
      </c>
      <c r="G19" s="44"/>
      <c r="H19" s="123">
        <f>+F19</f>
        <v>0</v>
      </c>
    </row>
    <row r="20" spans="1:8" ht="15.75" thickBot="1" x14ac:dyDescent="0.25">
      <c r="A20" s="2">
        <f>+A19+1</f>
        <v>9</v>
      </c>
      <c r="B20" s="21" t="s">
        <v>21</v>
      </c>
      <c r="C20" s="21"/>
      <c r="D20" s="40"/>
      <c r="E20" s="45"/>
      <c r="F20" s="46"/>
      <c r="G20" s="118">
        <f>VLOOKUP(H5,'Raw Data'!A:BX,25,FALSE)</f>
        <v>0</v>
      </c>
      <c r="H20" s="119">
        <f>+G20</f>
        <v>0</v>
      </c>
    </row>
    <row r="21" spans="1:8" ht="17.25" thickTop="1" thickBot="1" x14ac:dyDescent="0.3">
      <c r="A21" s="2">
        <f>+A20+1</f>
        <v>10</v>
      </c>
      <c r="B21" s="47" t="s">
        <v>22</v>
      </c>
      <c r="C21" s="47"/>
      <c r="D21" s="120">
        <f>SUM(D16)</f>
        <v>0</v>
      </c>
      <c r="E21" s="121">
        <f>SUM(E17)</f>
        <v>0</v>
      </c>
      <c r="F21" s="68">
        <f>SUM(F18:F19)</f>
        <v>0</v>
      </c>
      <c r="G21" s="68">
        <f>SUM(G20)</f>
        <v>0</v>
      </c>
      <c r="H21" s="68">
        <f>SUM(D21:G21)</f>
        <v>0</v>
      </c>
    </row>
    <row r="22" spans="1:8" ht="15.75" thickTop="1" x14ac:dyDescent="0.2">
      <c r="A22" s="2"/>
      <c r="B22" s="21"/>
      <c r="C22" s="21"/>
      <c r="D22" s="48"/>
      <c r="E22" s="49"/>
      <c r="F22" s="48"/>
      <c r="G22" s="48"/>
      <c r="H22" s="48"/>
    </row>
    <row r="23" spans="1:8" ht="16.5" thickBot="1" x14ac:dyDescent="0.3">
      <c r="A23" s="2"/>
      <c r="B23" s="29" t="s">
        <v>23</v>
      </c>
      <c r="C23" s="29"/>
      <c r="D23" s="48"/>
      <c r="E23" s="49"/>
      <c r="F23" s="48"/>
      <c r="G23" s="48"/>
      <c r="H23" s="48"/>
    </row>
    <row r="24" spans="1:8" ht="15.75" thickTop="1" x14ac:dyDescent="0.2">
      <c r="A24" s="2">
        <f>+A21+1</f>
        <v>11</v>
      </c>
      <c r="B24" s="21" t="s">
        <v>24</v>
      </c>
      <c r="C24" s="21"/>
      <c r="D24" s="50">
        <f>VLOOKUP(H5,'Raw Data'!A:BX,26,FALSE)</f>
        <v>0</v>
      </c>
      <c r="E24" s="51">
        <f>VLOOKUP(H5,'Raw Data'!A:BX,27,FALSE)</f>
        <v>0</v>
      </c>
      <c r="F24" s="51">
        <f>VLOOKUP(H5,'Raw Data'!A:BX,28,FALSE)</f>
        <v>0</v>
      </c>
      <c r="G24" s="129">
        <f>VLOOKUP(H5,'Raw Data'!A:BX,29,FALSE)</f>
        <v>0</v>
      </c>
      <c r="H24" s="130">
        <f>SUM(D24:G24)</f>
        <v>0</v>
      </c>
    </row>
    <row r="25" spans="1:8" ht="16.5" thickBot="1" x14ac:dyDescent="0.3">
      <c r="A25" s="2">
        <f>+A24+1</f>
        <v>12</v>
      </c>
      <c r="B25" s="47" t="s">
        <v>25</v>
      </c>
      <c r="C25" s="47"/>
      <c r="D25" s="131">
        <f>SUM(D21)-SUM(D24)</f>
        <v>0</v>
      </c>
      <c r="E25" s="52">
        <f>SUM(E21)-SUM(E24)</f>
        <v>0</v>
      </c>
      <c r="F25" s="52">
        <f>SUM(F21)-SUM(F24)</f>
        <v>0</v>
      </c>
      <c r="G25" s="52">
        <f>SUM(G21)-SUM(G24)</f>
        <v>0</v>
      </c>
      <c r="H25" s="128">
        <f>+H21-H24</f>
        <v>0</v>
      </c>
    </row>
    <row r="26" spans="1:8" ht="15.75" thickTop="1" x14ac:dyDescent="0.2">
      <c r="A26" s="2"/>
      <c r="B26" s="21"/>
      <c r="C26" s="21"/>
      <c r="D26" s="21"/>
      <c r="E26" s="53"/>
      <c r="F26" s="21"/>
      <c r="G26" s="21"/>
      <c r="H26" s="21"/>
    </row>
    <row r="27" spans="1:8" ht="16.5" thickBot="1" x14ac:dyDescent="0.3">
      <c r="A27" s="2"/>
      <c r="B27" s="54" t="s">
        <v>26</v>
      </c>
      <c r="C27" s="28"/>
      <c r="D27" s="21"/>
      <c r="E27" s="53"/>
      <c r="F27" s="21"/>
      <c r="G27" s="21"/>
      <c r="H27" s="21"/>
    </row>
    <row r="28" spans="1:8" ht="15.75" thickTop="1" x14ac:dyDescent="0.2">
      <c r="A28" s="2">
        <f>+A25+1</f>
        <v>13</v>
      </c>
      <c r="B28" s="21" t="s">
        <v>27</v>
      </c>
      <c r="C28" s="21"/>
      <c r="D28" s="55"/>
      <c r="E28" s="56"/>
      <c r="F28" s="57"/>
      <c r="G28" s="58"/>
      <c r="H28" s="59">
        <f>VLOOKUP(H5,'Raw Data'!A:BX,32,FALSE)</f>
        <v>1255850119</v>
      </c>
    </row>
    <row r="29" spans="1:8" ht="15" x14ac:dyDescent="0.2">
      <c r="A29" s="2">
        <f>+A28+1</f>
        <v>14</v>
      </c>
      <c r="B29" s="2" t="s">
        <v>28</v>
      </c>
      <c r="C29" s="2"/>
      <c r="D29" s="60"/>
      <c r="E29" s="61"/>
      <c r="F29" s="62"/>
      <c r="G29" s="63"/>
      <c r="H29" s="64">
        <f>VLOOKUP(H5,'Raw Data'!A:BX,33,FALSE)</f>
        <v>0</v>
      </c>
    </row>
    <row r="30" spans="1:8" ht="15" x14ac:dyDescent="0.2">
      <c r="A30" s="2">
        <f>+A29+1</f>
        <v>15</v>
      </c>
      <c r="B30" s="21" t="s">
        <v>29</v>
      </c>
      <c r="C30" s="21"/>
      <c r="D30" s="60"/>
      <c r="E30" s="61"/>
      <c r="F30" s="62"/>
      <c r="G30" s="63"/>
      <c r="H30" s="64">
        <f>VLOOKUP(H5,'Raw Data'!A:BX,34,FALSE)</f>
        <v>0</v>
      </c>
    </row>
    <row r="31" spans="1:8" ht="15.75" thickBot="1" x14ac:dyDescent="0.25">
      <c r="A31" s="2">
        <f>+A30+1</f>
        <v>16</v>
      </c>
      <c r="B31" s="21" t="s">
        <v>30</v>
      </c>
      <c r="C31" s="21"/>
      <c r="D31" s="60"/>
      <c r="E31" s="61"/>
      <c r="F31" s="62"/>
      <c r="G31" s="63"/>
      <c r="H31" s="64">
        <f>VLOOKUP(H5,'Raw Data'!A:BX,35,FALSE)</f>
        <v>0</v>
      </c>
    </row>
    <row r="32" spans="1:8" ht="17.25" thickTop="1" thickBot="1" x14ac:dyDescent="0.3">
      <c r="A32" s="2">
        <f>+A31+1</f>
        <v>17</v>
      </c>
      <c r="B32" s="47" t="s">
        <v>31</v>
      </c>
      <c r="C32" s="47"/>
      <c r="D32" s="65"/>
      <c r="E32" s="66"/>
      <c r="F32" s="67"/>
      <c r="G32" s="67"/>
      <c r="H32" s="68">
        <f>SUM(H28:H30)-SUM(H31)</f>
        <v>1255850119</v>
      </c>
    </row>
    <row r="33" spans="1:8" ht="15.75" thickTop="1" x14ac:dyDescent="0.2">
      <c r="A33" s="2"/>
      <c r="B33" s="21" t="s">
        <v>6</v>
      </c>
      <c r="C33" s="21"/>
      <c r="D33" s="69"/>
      <c r="E33" s="70"/>
      <c r="F33" s="69"/>
      <c r="G33" s="69"/>
      <c r="H33" s="69"/>
    </row>
    <row r="34" spans="1:8" ht="16.5" thickBot="1" x14ac:dyDescent="0.3">
      <c r="A34" s="2"/>
      <c r="B34" s="29" t="s">
        <v>32</v>
      </c>
      <c r="C34" s="29"/>
      <c r="D34" s="69"/>
      <c r="E34" s="70"/>
      <c r="F34" s="69"/>
      <c r="G34" s="69"/>
      <c r="H34" s="69"/>
    </row>
    <row r="35" spans="1:8" ht="15.75" thickTop="1" x14ac:dyDescent="0.2">
      <c r="A35" s="2">
        <f>+A32+1</f>
        <v>18</v>
      </c>
      <c r="B35" s="21" t="s">
        <v>33</v>
      </c>
      <c r="C35" s="21"/>
      <c r="D35" s="71">
        <f>IF(D25&lt;&gt;0,+INT(D25/$H$32*10000000)/10000000,IF(VLOOKUP(H5,'Raw Data'!A:BX,36,FALSE) = "", 0, VLOOKUP(H5,'Raw Data'!A:BX,36,FALSE)/1000))</f>
        <v>7.5690000000000002E-4</v>
      </c>
      <c r="E35" s="72">
        <f>IF(D25&lt;&gt;0,+INT(E25/$H$32*10000000)/10000000,IF(VLOOKUP(H5,'Raw Data'!A:BX,37,FALSE) = "", 0, VLOOKUP(H5,'Raw Data'!A:BX,37,FALSE)/1000))</f>
        <v>0</v>
      </c>
      <c r="F35" s="72">
        <f>IF(D25&lt;&gt;0,+INT(F25/$H$32*10000000)/10000000,IF(VLOOKUP(H5,'Raw Data'!A:BX,38,FALSE) = "", 0, VLOOKUP(H5,'Raw Data'!A:BX,38,FALSE)/1000))</f>
        <v>0</v>
      </c>
      <c r="G35" s="72">
        <f>+INT(G25/$H$32*10000000)/10000000</f>
        <v>0</v>
      </c>
      <c r="H35" s="143">
        <f>SUM(D35:G35)</f>
        <v>7.5690000000000002E-4</v>
      </c>
    </row>
    <row r="36" spans="1:8" ht="15" x14ac:dyDescent="0.2">
      <c r="A36" s="2">
        <f t="shared" ref="A36:A41" si="0">+A35+1</f>
        <v>19</v>
      </c>
      <c r="B36" s="21" t="s">
        <v>34</v>
      </c>
      <c r="C36" s="21"/>
      <c r="D36" s="76">
        <f>$H$32*D35</f>
        <v>950552.95507110003</v>
      </c>
      <c r="E36" s="74">
        <f>+$H$32*E35</f>
        <v>0</v>
      </c>
      <c r="F36" s="74">
        <f>+$H$32*F35</f>
        <v>0</v>
      </c>
      <c r="G36" s="74">
        <f>+$H$32*G35</f>
        <v>0</v>
      </c>
      <c r="H36" s="75">
        <f>SUM(D36:G36)</f>
        <v>950552.95507110003</v>
      </c>
    </row>
    <row r="37" spans="1:8" ht="15" x14ac:dyDescent="0.2">
      <c r="A37" s="2">
        <f t="shared" si="0"/>
        <v>20</v>
      </c>
      <c r="B37" s="21" t="s">
        <v>35</v>
      </c>
      <c r="C37" s="21"/>
      <c r="D37" s="133">
        <f>IF(D25&lt;&gt;0,+D36-D25,0)</f>
        <v>0</v>
      </c>
      <c r="E37" s="134">
        <f>IF(E25&lt;&gt;0,+E36-E25,0)</f>
        <v>0</v>
      </c>
      <c r="F37" s="132">
        <f>IF(F25&lt;&gt;0,+F36-F25,0)</f>
        <v>0</v>
      </c>
      <c r="G37" s="132">
        <f>IF(G25&lt;&gt;0,+G36-G25,0)</f>
        <v>0</v>
      </c>
      <c r="H37" s="75">
        <f>SUM(D37:G37)</f>
        <v>0</v>
      </c>
    </row>
    <row r="38" spans="1:8" ht="15.75" x14ac:dyDescent="0.25">
      <c r="A38" s="2">
        <f t="shared" si="0"/>
        <v>21</v>
      </c>
      <c r="B38" s="21" t="s">
        <v>36</v>
      </c>
      <c r="C38" s="21"/>
      <c r="D38" s="76">
        <f>IF(VLOOKUP(H5,'Raw Data'!A:BX,44,FALSE) = "", 0, VLOOKUP(H5,'Raw Data'!A:BX,44,FALSE))</f>
        <v>0</v>
      </c>
      <c r="E38" s="77"/>
      <c r="F38" s="77"/>
      <c r="G38" s="77"/>
      <c r="H38" s="78">
        <f>D38</f>
        <v>0</v>
      </c>
    </row>
    <row r="39" spans="1:8" ht="15" x14ac:dyDescent="0.2">
      <c r="A39" s="2">
        <f t="shared" si="0"/>
        <v>22</v>
      </c>
      <c r="B39" s="21" t="s">
        <v>37</v>
      </c>
      <c r="C39" s="21"/>
      <c r="D39" s="79">
        <f>INT(0.5 + D38/$H$32*10000000)/10000000</f>
        <v>0</v>
      </c>
      <c r="E39" s="80"/>
      <c r="F39" s="80"/>
      <c r="G39" s="80"/>
      <c r="H39" s="81">
        <f>D39</f>
        <v>0</v>
      </c>
    </row>
    <row r="40" spans="1:8" ht="15" x14ac:dyDescent="0.2">
      <c r="A40" s="2">
        <f t="shared" si="0"/>
        <v>23</v>
      </c>
      <c r="B40" s="21" t="s">
        <v>38</v>
      </c>
      <c r="C40" s="21"/>
      <c r="D40" s="79">
        <f>D35-D39</f>
        <v>7.5690000000000002E-4</v>
      </c>
      <c r="E40" s="82">
        <f>E35</f>
        <v>0</v>
      </c>
      <c r="F40" s="82">
        <f>F35</f>
        <v>0</v>
      </c>
      <c r="G40" s="82">
        <f>G35</f>
        <v>0</v>
      </c>
      <c r="H40" s="73">
        <f t="shared" ref="H40:H46" si="1">SUM(D40:G40)</f>
        <v>7.5690000000000002E-4</v>
      </c>
    </row>
    <row r="41" spans="1:8" ht="15" x14ac:dyDescent="0.2">
      <c r="A41" s="2">
        <f t="shared" si="0"/>
        <v>24</v>
      </c>
      <c r="B41" s="21" t="s">
        <v>39</v>
      </c>
      <c r="C41" s="21"/>
      <c r="D41" s="76">
        <f>ROUND(+D40*$H$32,2)</f>
        <v>950552.96</v>
      </c>
      <c r="E41" s="74">
        <f>ROUND(+E40*$H$32,2)</f>
        <v>0</v>
      </c>
      <c r="F41" s="74">
        <f>ROUND(+F40*$H$32,2)</f>
        <v>0</v>
      </c>
      <c r="G41" s="74">
        <f>ROUND(+G40*$H$32,2)</f>
        <v>0</v>
      </c>
      <c r="H41" s="75">
        <f t="shared" si="1"/>
        <v>950552.96</v>
      </c>
    </row>
    <row r="42" spans="1:8" ht="15" x14ac:dyDescent="0.2">
      <c r="A42" s="33" t="s">
        <v>40</v>
      </c>
      <c r="B42" s="83" t="s">
        <v>41</v>
      </c>
      <c r="C42" s="84"/>
      <c r="D42" s="85">
        <f>VLOOKUP(H5,'Raw Data'!A:BX,50,FALSE)</f>
        <v>0</v>
      </c>
      <c r="E42" s="86">
        <f>VLOOKUP(H5,'Raw Data'!A:BX,51,FALSE)</f>
        <v>0</v>
      </c>
      <c r="F42" s="86">
        <f>VLOOKUP(H5,'Raw Data'!A:BX,52,FALSE)</f>
        <v>0</v>
      </c>
      <c r="G42" s="86">
        <f>VLOOKUP(H5,'Raw Data'!A:BX,53,FALSE)</f>
        <v>0</v>
      </c>
      <c r="H42" s="75">
        <f t="shared" si="1"/>
        <v>0</v>
      </c>
    </row>
    <row r="43" spans="1:8" ht="15" x14ac:dyDescent="0.2">
      <c r="A43" s="33" t="s">
        <v>42</v>
      </c>
      <c r="B43" s="83" t="s">
        <v>43</v>
      </c>
      <c r="C43" s="21"/>
      <c r="D43" s="85">
        <f>VLOOKUP(H5,'Raw Data'!A:BX,54,FALSE)</f>
        <v>0</v>
      </c>
      <c r="E43" s="86">
        <f>VLOOKUP(H5,'Raw Data'!A:BX,55,FALSE)</f>
        <v>0</v>
      </c>
      <c r="F43" s="86">
        <f>VLOOKUP(H5,'Raw Data'!A:BX,56,FALSE)</f>
        <v>0</v>
      </c>
      <c r="G43" s="86">
        <f>VLOOKUP(H5,'Raw Data'!A:BX,57,FALSE)</f>
        <v>0</v>
      </c>
      <c r="H43" s="75">
        <f t="shared" si="1"/>
        <v>0</v>
      </c>
    </row>
    <row r="44" spans="1:8" ht="15" x14ac:dyDescent="0.2">
      <c r="A44" s="33" t="s">
        <v>44</v>
      </c>
      <c r="B44" s="21" t="s">
        <v>45</v>
      </c>
      <c r="C44" s="21"/>
      <c r="D44" s="76">
        <f>SUM(D41:D43)</f>
        <v>950552.96</v>
      </c>
      <c r="E44" s="74">
        <f>SUM(E41:E43)</f>
        <v>0</v>
      </c>
      <c r="F44" s="74">
        <f>SUM(F41:F43)</f>
        <v>0</v>
      </c>
      <c r="G44" s="136">
        <f>SUM(G41:G43)</f>
        <v>0</v>
      </c>
      <c r="H44" s="75">
        <f t="shared" si="1"/>
        <v>950552.96</v>
      </c>
    </row>
    <row r="45" spans="1:8" ht="15" x14ac:dyDescent="0.2">
      <c r="A45" s="2">
        <v>25</v>
      </c>
      <c r="B45" s="21" t="s">
        <v>46</v>
      </c>
      <c r="C45" s="21"/>
      <c r="D45" s="135">
        <f>VLOOKUP(H5,'Raw Data'!A:BX,58,FALSE)</f>
        <v>950552.96</v>
      </c>
      <c r="E45" s="74">
        <f>IF(VLOOKUP(H5,'Raw Data'!A:BX,59,FALSE) = "", 0, VLOOKUP(H5,'Raw Data'!A:BX,59,FALSE))</f>
        <v>0</v>
      </c>
      <c r="F45" s="74">
        <f>IF(VLOOKUP(H5,'Raw Data'!A:BX,60,FALSE) = "", 0, VLOOKUP(H5,'Raw Data'!A:BX,60,FALSE))</f>
        <v>0</v>
      </c>
      <c r="G45" s="136">
        <f>IF(VLOOKUP(H5,'Raw Data'!A:BX,61,FALSE) = "", 0, VLOOKUP(H5,'Raw Data'!A:BX,61,FALSE))</f>
        <v>0</v>
      </c>
      <c r="H45" s="75">
        <f t="shared" si="1"/>
        <v>950552.96</v>
      </c>
    </row>
    <row r="46" spans="1:8" ht="15" x14ac:dyDescent="0.2">
      <c r="A46" s="2">
        <f>+A45+1</f>
        <v>26</v>
      </c>
      <c r="B46" s="21" t="s">
        <v>47</v>
      </c>
      <c r="C46" s="21"/>
      <c r="D46" s="135">
        <f>SUM(D45)-SUM(D44)</f>
        <v>0</v>
      </c>
      <c r="E46" s="74">
        <f>SUM(E45)-SUM(E44)</f>
        <v>0</v>
      </c>
      <c r="F46" s="137">
        <f>SUM(F45)-SUM(F44)</f>
        <v>0</v>
      </c>
      <c r="G46" s="136">
        <f>SUM(G45)-SUM(G44)</f>
        <v>0</v>
      </c>
      <c r="H46" s="75">
        <f t="shared" si="1"/>
        <v>0</v>
      </c>
    </row>
    <row r="47" spans="1:8" ht="15.75" thickBot="1" x14ac:dyDescent="0.25">
      <c r="A47" s="2">
        <f>+A46+1</f>
        <v>27</v>
      </c>
      <c r="B47" s="21" t="s">
        <v>48</v>
      </c>
      <c r="C47" s="21"/>
      <c r="D47" s="85">
        <f>VLOOKUP(H5,'Raw Data'!A:BX,62,FALSE)</f>
        <v>-41.14</v>
      </c>
      <c r="E47" s="86">
        <f>VLOOKUP(H5,'Raw Data'!A:BX,63,FALSE)</f>
        <v>0</v>
      </c>
      <c r="F47" s="86">
        <f>VLOOKUP(H5,'Raw Data'!A:BX,64,FALSE)</f>
        <v>0</v>
      </c>
      <c r="G47" s="77"/>
      <c r="H47" s="87">
        <f>SUM(D47:F47)</f>
        <v>-41.14</v>
      </c>
    </row>
    <row r="48" spans="1:8" ht="16.5" thickBot="1" x14ac:dyDescent="0.3">
      <c r="A48" s="2">
        <f>+A47+1</f>
        <v>28</v>
      </c>
      <c r="B48" s="47" t="s">
        <v>49</v>
      </c>
      <c r="C48" s="47"/>
      <c r="D48" s="138">
        <f>SUM(D44,D46:D47)</f>
        <v>950511.82</v>
      </c>
      <c r="E48" s="140">
        <f>SUM(E44,E46:E47)</f>
        <v>0</v>
      </c>
      <c r="F48" s="140">
        <f>SUM(F44,F46:F47)</f>
        <v>0</v>
      </c>
      <c r="G48" s="139">
        <f>SUM(G44,G46:G47)</f>
        <v>0</v>
      </c>
      <c r="H48" s="266">
        <f>SUM(D48:G48)</f>
        <v>950511.82</v>
      </c>
    </row>
    <row r="49" spans="1:8" ht="15.75" thickTop="1" x14ac:dyDescent="0.2">
      <c r="A49" s="2"/>
      <c r="B49" s="21"/>
      <c r="C49" s="21"/>
      <c r="D49" s="53"/>
      <c r="E49" s="53"/>
      <c r="F49" s="53"/>
      <c r="G49" s="53"/>
      <c r="H49" s="53"/>
    </row>
    <row r="50" spans="1:8" ht="16.5" thickBot="1" x14ac:dyDescent="0.3">
      <c r="A50" s="2"/>
      <c r="B50" s="29" t="s">
        <v>50</v>
      </c>
      <c r="C50" s="29"/>
      <c r="D50" s="53"/>
      <c r="E50" s="53"/>
      <c r="F50" s="53"/>
      <c r="G50" s="53"/>
      <c r="H50" s="53"/>
    </row>
    <row r="51" spans="1:8" ht="15.75" thickTop="1" x14ac:dyDescent="0.2">
      <c r="A51" s="2">
        <f>+A48+1</f>
        <v>29</v>
      </c>
      <c r="B51" s="21" t="s">
        <v>51</v>
      </c>
      <c r="C51" s="21"/>
      <c r="D51" s="88"/>
      <c r="E51" s="89"/>
      <c r="F51" s="90"/>
      <c r="G51" s="91">
        <f>VLOOKUP(H5,'Raw Data'!A:BX,66,FALSE)</f>
        <v>138.53</v>
      </c>
      <c r="H51" s="92">
        <f>G51</f>
        <v>138.53</v>
      </c>
    </row>
    <row r="52" spans="1:8" ht="15" x14ac:dyDescent="0.2">
      <c r="A52" s="2">
        <f t="shared" ref="A52:A60" si="2">+A51+1</f>
        <v>30</v>
      </c>
      <c r="B52" s="21" t="s">
        <v>52</v>
      </c>
      <c r="C52" s="21"/>
      <c r="D52" s="93"/>
      <c r="E52" s="94"/>
      <c r="F52" s="95"/>
      <c r="G52" s="74">
        <f>VLOOKUP(H5,'Raw Data'!A:BX,67,FALSE)</f>
        <v>0</v>
      </c>
      <c r="H52" s="96">
        <f t="shared" ref="H52:H59" si="3">+G52</f>
        <v>0</v>
      </c>
    </row>
    <row r="53" spans="1:8" ht="15" x14ac:dyDescent="0.2">
      <c r="A53" s="2">
        <f t="shared" si="2"/>
        <v>31</v>
      </c>
      <c r="B53" s="21" t="s">
        <v>53</v>
      </c>
      <c r="C53" s="21"/>
      <c r="D53" s="93"/>
      <c r="E53" s="94"/>
      <c r="F53" s="95"/>
      <c r="G53" s="74">
        <f>VLOOKUP(H5,'Raw Data'!A:BX,68,FALSE)</f>
        <v>0</v>
      </c>
      <c r="H53" s="96">
        <f t="shared" si="3"/>
        <v>0</v>
      </c>
    </row>
    <row r="54" spans="1:8" ht="15" x14ac:dyDescent="0.2">
      <c r="A54" s="2">
        <f t="shared" si="2"/>
        <v>32</v>
      </c>
      <c r="B54" s="21" t="s">
        <v>54</v>
      </c>
      <c r="C54" s="21"/>
      <c r="D54" s="93"/>
      <c r="E54" s="94"/>
      <c r="F54" s="95"/>
      <c r="G54" s="74">
        <f>VLOOKUP(H5,'Raw Data'!A:BX,69,FALSE)</f>
        <v>0</v>
      </c>
      <c r="H54" s="96">
        <f t="shared" si="3"/>
        <v>0</v>
      </c>
    </row>
    <row r="55" spans="1:8" ht="15" x14ac:dyDescent="0.2">
      <c r="A55" s="2">
        <f t="shared" si="2"/>
        <v>33</v>
      </c>
      <c r="B55" s="33" t="s">
        <v>265</v>
      </c>
      <c r="C55" s="21"/>
      <c r="D55" s="93"/>
      <c r="E55" s="94"/>
      <c r="F55" s="95"/>
      <c r="G55" s="134">
        <f>VLOOKUP(H5,'Raw Data'!A:BX,70,FALSE)</f>
        <v>0</v>
      </c>
      <c r="H55" s="96">
        <f t="shared" si="3"/>
        <v>0</v>
      </c>
    </row>
    <row r="56" spans="1:8" ht="15" x14ac:dyDescent="0.2">
      <c r="A56" s="2">
        <f t="shared" si="2"/>
        <v>34</v>
      </c>
      <c r="B56" s="21" t="s">
        <v>55</v>
      </c>
      <c r="C56" s="21"/>
      <c r="D56" s="93"/>
      <c r="E56" s="94"/>
      <c r="F56" s="95"/>
      <c r="G56" s="74">
        <f>VLOOKUP(H5,'Raw Data'!A:BX,71,FALSE)</f>
        <v>0</v>
      </c>
      <c r="H56" s="96">
        <f t="shared" si="3"/>
        <v>0</v>
      </c>
    </row>
    <row r="57" spans="1:8" ht="15" x14ac:dyDescent="0.2">
      <c r="A57" s="2">
        <f t="shared" si="2"/>
        <v>35</v>
      </c>
      <c r="B57" s="21" t="s">
        <v>56</v>
      </c>
      <c r="C57" s="21"/>
      <c r="D57" s="93"/>
      <c r="E57" s="94"/>
      <c r="F57" s="95"/>
      <c r="G57" s="74">
        <f>VLOOKUP(H5,'Raw Data'!A:BX,72,FALSE)</f>
        <v>0</v>
      </c>
      <c r="H57" s="96">
        <f t="shared" si="3"/>
        <v>0</v>
      </c>
    </row>
    <row r="58" spans="1:8" ht="15" x14ac:dyDescent="0.2">
      <c r="A58" s="2">
        <f t="shared" si="2"/>
        <v>36</v>
      </c>
      <c r="B58" s="21" t="s">
        <v>57</v>
      </c>
      <c r="C58" s="21"/>
      <c r="D58" s="93"/>
      <c r="E58" s="94"/>
      <c r="F58" s="95"/>
      <c r="G58" s="74">
        <f>VLOOKUP(H5,'Raw Data'!A:BX,73,FALSE)</f>
        <v>0</v>
      </c>
      <c r="H58" s="96">
        <f t="shared" si="3"/>
        <v>0</v>
      </c>
    </row>
    <row r="59" spans="1:8" ht="60.75" thickBot="1" x14ac:dyDescent="0.25">
      <c r="A59" s="97">
        <f t="shared" si="2"/>
        <v>37</v>
      </c>
      <c r="B59" s="98" t="s">
        <v>58</v>
      </c>
      <c r="C59" s="99"/>
      <c r="D59" s="100"/>
      <c r="E59" s="101"/>
      <c r="F59" s="102"/>
      <c r="G59" s="103">
        <f>VLOOKUP(H5,'Raw Data'!A:BX,74,FALSE)</f>
        <v>949.94</v>
      </c>
      <c r="H59" s="104">
        <f t="shared" si="3"/>
        <v>949.94</v>
      </c>
    </row>
    <row r="60" spans="1:8" ht="17.25" thickTop="1" thickBot="1" x14ac:dyDescent="0.3">
      <c r="A60" s="2">
        <f t="shared" si="2"/>
        <v>38</v>
      </c>
      <c r="B60" s="47" t="s">
        <v>59</v>
      </c>
      <c r="C60" s="47"/>
      <c r="D60" s="105"/>
      <c r="E60" s="106"/>
      <c r="F60" s="107"/>
      <c r="G60" s="109">
        <f>SUM(G51:G59)</f>
        <v>1088.47</v>
      </c>
      <c r="H60" s="142">
        <f>SUM(H51:H59)</f>
        <v>1088.47</v>
      </c>
    </row>
    <row r="61" spans="1:8" ht="16.5" thickTop="1" thickBot="1" x14ac:dyDescent="0.25">
      <c r="A61" s="2"/>
      <c r="B61" s="21"/>
      <c r="C61" s="21"/>
      <c r="D61" s="108"/>
      <c r="E61" s="108"/>
      <c r="F61" s="108"/>
      <c r="G61" s="108"/>
      <c r="H61" s="108"/>
    </row>
    <row r="62" spans="1:8" ht="17.25" thickTop="1" thickBot="1" x14ac:dyDescent="0.3">
      <c r="A62" s="2">
        <f>+A60+1</f>
        <v>39</v>
      </c>
      <c r="B62" s="47" t="s">
        <v>60</v>
      </c>
      <c r="C62" s="47"/>
      <c r="D62" s="109">
        <f>D48</f>
        <v>950511.82</v>
      </c>
      <c r="E62" s="141">
        <f>E48</f>
        <v>0</v>
      </c>
      <c r="F62" s="141">
        <f>F48</f>
        <v>0</v>
      </c>
      <c r="G62" s="141">
        <f>G48+G60</f>
        <v>1088.47</v>
      </c>
      <c r="H62" s="142">
        <f>H48+H60</f>
        <v>951600.28999999992</v>
      </c>
    </row>
    <row r="63" spans="1:8" ht="16.5" thickTop="1" thickBot="1" x14ac:dyDescent="0.25">
      <c r="A63" s="2">
        <f>+A62+1</f>
        <v>40</v>
      </c>
      <c r="B63" s="110" t="s">
        <v>61</v>
      </c>
      <c r="C63" s="110"/>
      <c r="D63" s="111"/>
      <c r="E63" s="112"/>
      <c r="F63" s="112"/>
      <c r="G63" s="112"/>
      <c r="H63" s="113">
        <f>VLOOKUP(H5,'Raw Data'!A:BX,75,FALSE)</f>
        <v>2.9152776700000001E-2</v>
      </c>
    </row>
    <row r="64" spans="1:8" ht="15.75" thickTop="1" x14ac:dyDescent="0.2">
      <c r="A64" s="2"/>
      <c r="B64" s="2"/>
      <c r="C64" s="2"/>
      <c r="D64" s="2"/>
      <c r="E64" s="5"/>
      <c r="F64" s="2"/>
      <c r="G64" s="2"/>
      <c r="H64" s="2"/>
    </row>
    <row r="65" spans="1:8" ht="15" x14ac:dyDescent="0.2">
      <c r="A65" s="33" t="s">
        <v>62</v>
      </c>
      <c r="B65" s="21"/>
      <c r="C65" s="21"/>
      <c r="D65" s="21"/>
      <c r="E65" s="23"/>
      <c r="F65" s="21"/>
      <c r="G65" s="21"/>
      <c r="H65" s="21"/>
    </row>
    <row r="66" spans="1:8" ht="15.75" x14ac:dyDescent="0.25">
      <c r="A66" s="2" t="s">
        <v>63</v>
      </c>
      <c r="B66" s="21"/>
      <c r="C66" s="21"/>
      <c r="D66" s="21"/>
      <c r="E66" s="23"/>
      <c r="F66" s="21"/>
      <c r="G66" s="21"/>
      <c r="H66" s="21"/>
    </row>
    <row r="67" spans="1:8" ht="15" x14ac:dyDescent="0.2">
      <c r="A67" s="33" t="s">
        <v>64</v>
      </c>
      <c r="B67" s="21"/>
      <c r="C67" s="21"/>
      <c r="D67" s="21"/>
      <c r="E67" s="23"/>
      <c r="F67" s="21"/>
      <c r="G67" s="21"/>
      <c r="H67" s="21"/>
    </row>
    <row r="68" spans="1:8" ht="15" x14ac:dyDescent="0.2">
      <c r="A68" s="33" t="s">
        <v>65</v>
      </c>
      <c r="B68" s="21"/>
      <c r="C68" s="21"/>
      <c r="D68" s="21"/>
      <c r="E68" s="23"/>
      <c r="F68" s="21"/>
      <c r="G68" s="21"/>
      <c r="H68" s="21"/>
    </row>
  </sheetData>
  <sheetProtection password="C7A6" sheet="1" objects="1" scenarios="1"/>
  <phoneticPr fontId="0" type="noConversion"/>
  <pageMargins left="0.7" right="0.7" top="0.75" bottom="0.75" header="0.3" footer="0.3"/>
  <pageSetup scale="4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101 - Crook County</vt:lpstr>
      <vt:lpstr>602 - Alfalfa Fire Dist</vt:lpstr>
      <vt:lpstr>610 - AG Extension Service</vt:lpstr>
      <vt:lpstr>616 - CC Historical Fund</vt:lpstr>
      <vt:lpstr>622 - High Desert ESD</vt:lpstr>
      <vt:lpstr>630 - Deschutes County #1 RFPD1</vt:lpstr>
      <vt:lpstr>631 - CCFR Taxing Zone 1</vt:lpstr>
      <vt:lpstr>635 - Hahlen Road District</vt:lpstr>
      <vt:lpstr>664 - CC PARKS &amp; REC DIST</vt:lpstr>
      <vt:lpstr>665 - Crook City Cemetary</vt:lpstr>
      <vt:lpstr>666 - Vector Control</vt:lpstr>
      <vt:lpstr>668 - JUN CAN Water Dist</vt:lpstr>
      <vt:lpstr>679 - PLA Unit I Road Dist</vt:lpstr>
      <vt:lpstr>680 - Crook Cty School Dist</vt:lpstr>
      <vt:lpstr>681SCH2013 - CC School Bond</vt:lpstr>
      <vt:lpstr>690 - COCC</vt:lpstr>
      <vt:lpstr>691 - COCC Bond</vt:lpstr>
      <vt:lpstr>692 - City of Prineville</vt:lpstr>
      <vt:lpstr>Ochoco West Water &amp; Sanitary</vt:lpstr>
      <vt:lpstr>502 - Crook County Jail Bond</vt:lpstr>
      <vt:lpstr>Sum 4a - ALL</vt:lpstr>
      <vt:lpstr>Balancing Summary</vt:lpstr>
      <vt:lpstr>Raw Data</vt:lpstr>
      <vt:lpstr>'Raw 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Logan</dc:creator>
  <cp:lastModifiedBy>Crook County</cp:lastModifiedBy>
  <cp:lastPrinted>2010-10-19T16:20:15Z</cp:lastPrinted>
  <dcterms:created xsi:type="dcterms:W3CDTF">2004-10-04T01:05:39Z</dcterms:created>
  <dcterms:modified xsi:type="dcterms:W3CDTF">2019-10-15T21:54:53Z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b4f0af2e95de48f988ea53ce9a9ca0c4</vt:lpwstr>
  </property>
</Properties>
</file>